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7 BUDGET" sheetId="1" state="visible" r:id="rId3"/>
    <sheet name="Salaries 3%" sheetId="2" state="visible" r:id="rId4"/>
    <sheet name="Health Insurance" sheetId="3" state="visible" r:id="rId5"/>
    <sheet name="Sheet2" sheetId="4" state="visible" r:id="rId6"/>
    <sheet name="Sheet1" sheetId="5" state="visible" r:id="rId7"/>
  </sheets>
  <externalReferences>
    <externalReference r:id="rId8"/>
  </externalReferences>
  <definedNames>
    <definedName function="false" hidden="false" localSheetId="0" name="_xlnm.Print_Area" vbProcedure="false">'2027 BUDGET'!$A$1:$G$365</definedName>
    <definedName function="false" hidden="false" localSheetId="0" name="_xlnm.Print_Titles" vbProcedure="false">'2027 BUDGET'!$1:$1</definedName>
    <definedName function="false" hidden="false" name="Beginning_Balance" vbProcedure="false">-FV(Interest_Rate/12,Payment_Number-1,-Monthly_Payment,Loan_Amount)</definedName>
    <definedName function="false" hidden="false" name="Interest_Rate" vbProcedure="false">'[1]note for recording'!$E$5</definedName>
    <definedName function="false" hidden="false" name="Payment_Number" vbProcedure="false">ROW()-Header_Row</definedName>
    <definedName function="false" hidden="false" name="Header_Row" vbProcedure="false">ROW('[1]note for recording'!$A$15:$XFD$15)</definedName>
    <definedName function="false" hidden="false" name="Monthly_Payment" vbProcedure="false">-PMT(Interest_Rate/12,Number_of_Payments,Loan_Amount)</definedName>
    <definedName function="false" hidden="false" name="Number_of_Payments" vbProcedure="false">'[1]note for recording'!$E$10</definedName>
    <definedName function="false" hidden="false" name="Loan_Amount" vbProcedure="false">'[1]note for recording'!$E$4</definedName>
    <definedName function="false" hidden="false" name="Ending_Balance" vbProcedure="false">-FV(Interest_Rate/12,Payment_Number,-Monthly_Payment,Loan_Amount)</definedName>
    <definedName function="false" hidden="false" name="Interest" vbProcedure="false">-IPMT(Interest_Rate/12,Payment_Number,Number_of_Payments,Loan_Amount)</definedName>
    <definedName function="false" hidden="false" name="Last_Row" vbProcedure="false">IF(Values_Entered,Header_Row+Number_of_Payments,Header_Row)</definedName>
    <definedName function="false" hidden="false" name="Values_Entered" vbProcedure="false">IF(Loan_Amount*Interest_Rate*Loan_Years*Loan_Start&gt;0,1,0)</definedName>
    <definedName function="false" hidden="false" name="Loan_Years" vbProcedure="false">'[1]note for recording'!$E$6</definedName>
    <definedName function="false" hidden="false" name="Loan_Start" vbProcedure="false">'[1]note for recording'!$E$7</definedName>
    <definedName function="false" hidden="false" name="Loan_Not_Paid" vbProcedure="false">IF(Payment_Number&lt;=Number_of_Payments,1,0)</definedName>
    <definedName function="false" hidden="false" name="Payment_Date" vbProcedure="false">DATE(YEAR(Loan_Start),MONTH(Loan_Start)+Payment_Number,DAY(Loan_Start))</definedName>
    <definedName function="false" hidden="false" name="Principal" vbProcedure="false">-PPMT(Interest_Rate/12,Payment_Number,Number_of_Payments,Loan_Amount)</definedName>
    <definedName function="false" hidden="false" name="Total_Cost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Assistant Treasurer</author>
  </authors>
  <commentList>
    <comment ref="E62" authorId="0">
      <text>
        <r>
          <rPr>
            <sz val="10"/>
            <rFont val="Arial"/>
            <family val="2"/>
          </rPr>
          <t xml:space="preserve">Assistant Treasurer:
</t>
        </r>
        <r>
          <rPr>
            <sz val="9"/>
            <color rgb="FF000000"/>
            <rFont val="Tahoma"/>
            <family val="2"/>
            <charset val="1"/>
          </rPr>
          <t xml:space="preserve">5,986 NEMRC
</t>
        </r>
      </text>
    </comment>
    <comment ref="E77" authorId="0">
      <text>
        <r>
          <rPr>
            <sz val="10"/>
            <rFont val="Arial"/>
            <family val="2"/>
          </rPr>
          <t xml:space="preserve">Assistant Treasurer:
</t>
        </r>
        <r>
          <rPr>
            <sz val="9"/>
            <color rgb="FF000000"/>
            <rFont val="Tahoma"/>
            <family val="2"/>
            <charset val="1"/>
          </rPr>
          <t xml:space="preserve">requesting 10k for NEMRC support however we already budget 9k for all users
</t>
        </r>
      </text>
    </comment>
    <comment ref="E85" authorId="0">
      <text>
        <r>
          <rPr>
            <sz val="10"/>
            <rFont val="Arial"/>
            <family val="2"/>
          </rPr>
          <t xml:space="preserve">Assistant Treasurer:
</t>
        </r>
        <r>
          <rPr>
            <sz val="9"/>
            <color rgb="FF000000"/>
            <rFont val="Tahoma"/>
            <family val="2"/>
            <charset val="1"/>
          </rPr>
          <t xml:space="preserve">Furnace 15k</t>
        </r>
      </text>
    </comment>
  </commentList>
</comments>
</file>

<file path=xl/sharedStrings.xml><?xml version="1.0" encoding="utf-8"?>
<sst xmlns="http://schemas.openxmlformats.org/spreadsheetml/2006/main" count="468" uniqueCount="421">
  <si>
    <t xml:space="preserve">2026/2027Budget </t>
  </si>
  <si>
    <t xml:space="preserve">Budget FY - 2024/2025</t>
  </si>
  <si>
    <t xml:space="preserve">Actual FY - 2024/2025</t>
  </si>
  <si>
    <t xml:space="preserve">Budget FY 2025/2026</t>
  </si>
  <si>
    <t xml:space="preserve">Budget FY 2026/2027</t>
  </si>
  <si>
    <t xml:space="preserve">$ Change</t>
  </si>
  <si>
    <t xml:space="preserve">Percentage Change</t>
  </si>
  <si>
    <t xml:space="preserve">July 1, 2024-June 30, 2025</t>
  </si>
  <si>
    <t xml:space="preserve">July 1,2025-June 30,2026</t>
  </si>
  <si>
    <t xml:space="preserve">July 1,2026-June 30,2027</t>
  </si>
  <si>
    <t xml:space="preserve">GENERAL GOVERNMENT</t>
  </si>
  <si>
    <t xml:space="preserve">Wages: Selectboard</t>
  </si>
  <si>
    <t xml:space="preserve">Wages: Selectboard Minute Taker</t>
  </si>
  <si>
    <t xml:space="preserve">Wages: Fema Project Manager</t>
  </si>
  <si>
    <t xml:space="preserve">Wages: Fema Wages</t>
  </si>
  <si>
    <t xml:space="preserve">Wages: Town Administrator</t>
  </si>
  <si>
    <t xml:space="preserve">NEW</t>
  </si>
  <si>
    <t xml:space="preserve">General Gov: Payroll Tax(SS&amp;MED)</t>
  </si>
  <si>
    <t xml:space="preserve">General Gov:Insurance:  Life/LTD/AD&amp;D</t>
  </si>
  <si>
    <t xml:space="preserve">General Gov: Childcare Contribution (Act76)</t>
  </si>
  <si>
    <t xml:space="preserve">General Gov: Retirement</t>
  </si>
  <si>
    <t xml:space="preserve">General Gov Insurance: Health </t>
  </si>
  <si>
    <t xml:space="preserve">General Gov: Insurance: Dental</t>
  </si>
  <si>
    <t xml:space="preserve">General Gov: Insurance:Vision</t>
  </si>
  <si>
    <t xml:space="preserve">Insurance: Property &amp; Casuality</t>
  </si>
  <si>
    <t xml:space="preserve">Insurance: Directors &amp; Officers</t>
  </si>
  <si>
    <t xml:space="preserve">Insurance:  Workers Compensation</t>
  </si>
  <si>
    <t xml:space="preserve">Insurance: Unemployment Comp</t>
  </si>
  <si>
    <t xml:space="preserve">Advertising/Printing</t>
  </si>
  <si>
    <t xml:space="preserve">Selectboard Courses</t>
  </si>
  <si>
    <t xml:space="preserve">Town Email &amp; Meeting Expense</t>
  </si>
  <si>
    <t xml:space="preserve">Town Property Maintenance</t>
  </si>
  <si>
    <t xml:space="preserve"> </t>
  </si>
  <si>
    <t xml:space="preserve">Welch Park</t>
  </si>
  <si>
    <t xml:space="preserve">General Government</t>
  </si>
  <si>
    <t xml:space="preserve">Discretionary Fund</t>
  </si>
  <si>
    <t xml:space="preserve">Legal Fees</t>
  </si>
  <si>
    <t xml:space="preserve">Town Report</t>
  </si>
  <si>
    <t xml:space="preserve">VLCT Dues</t>
  </si>
  <si>
    <t xml:space="preserve">County Tax</t>
  </si>
  <si>
    <t xml:space="preserve">CV Solid Waste</t>
  </si>
  <si>
    <t xml:space="preserve">CV Reg Planning Comm</t>
  </si>
  <si>
    <t xml:space="preserve">Conservation Commission</t>
  </si>
  <si>
    <t xml:space="preserve">Elections</t>
  </si>
  <si>
    <t xml:space="preserve">Misc Expense</t>
  </si>
  <si>
    <t xml:space="preserve">Grant Matches</t>
  </si>
  <si>
    <t xml:space="preserve">Tax Abatements</t>
  </si>
  <si>
    <t xml:space="preserve">TOTAL GENERAL GOVERNMENT</t>
  </si>
  <si>
    <t xml:space="preserve">ADMINISTRATION</t>
  </si>
  <si>
    <r>
      <rPr>
        <sz val="11"/>
        <color theme="1"/>
        <rFont val="Calibri"/>
        <family val="2"/>
        <charset val="1"/>
      </rPr>
      <t xml:space="preserve">Office: Wages </t>
    </r>
    <r>
      <rPr>
        <sz val="9"/>
        <color theme="1"/>
        <rFont val="Calibri"/>
        <family val="2"/>
        <charset val="1"/>
      </rPr>
      <t xml:space="preserve">(Clerk,Ass't Clerk,Finance)</t>
    </r>
  </si>
  <si>
    <t xml:space="preserve">Delinquent Tax Collector: Wages</t>
  </si>
  <si>
    <t xml:space="preserve"> ADMIN: Payroll Tax (SS&amp;MED)</t>
  </si>
  <si>
    <t xml:space="preserve">ADMIN: Unemployment</t>
  </si>
  <si>
    <t xml:space="preserve">ADMIN: Retirement</t>
  </si>
  <si>
    <t xml:space="preserve">ADMIN:Insurance:  Life/LTD/AD&amp;D</t>
  </si>
  <si>
    <t xml:space="preserve">ADMIN: Insurance: Health Premium &amp; HSA</t>
  </si>
  <si>
    <t xml:space="preserve">ADMIN: Dental &amp; Vision</t>
  </si>
  <si>
    <t xml:space="preserve">ADMIN: Insurance: Workers Comp</t>
  </si>
  <si>
    <t xml:space="preserve">ADMIN: Child Care Contribution Act 76</t>
  </si>
  <si>
    <t xml:space="preserve">Office Supplies</t>
  </si>
  <si>
    <t xml:space="preserve">Equipment Repair</t>
  </si>
  <si>
    <t xml:space="preserve">Equipment Purchase</t>
  </si>
  <si>
    <t xml:space="preserve">Telephone &amp; Internet</t>
  </si>
  <si>
    <t xml:space="preserve">Postage</t>
  </si>
  <si>
    <t xml:space="preserve">Auditing</t>
  </si>
  <si>
    <t xml:space="preserve">Clerical Mileage</t>
  </si>
  <si>
    <t xml:space="preserve">Clerk's / Courses &amp; Training</t>
  </si>
  <si>
    <t xml:space="preserve">Copier Lease</t>
  </si>
  <si>
    <t xml:space="preserve">Computer Maintenance</t>
  </si>
  <si>
    <t xml:space="preserve">Website Development &amp; maintenance</t>
  </si>
  <si>
    <t xml:space="preserve">Consultant Fees /Support</t>
  </si>
  <si>
    <t xml:space="preserve">Gen Gov + Admin</t>
  </si>
  <si>
    <t xml:space="preserve">Total: Clerks Office</t>
  </si>
  <si>
    <t xml:space="preserve">LISTERS</t>
  </si>
  <si>
    <t xml:space="preserve">Listers: Wages</t>
  </si>
  <si>
    <t xml:space="preserve"> LISTER: Payroll Tax (SS&amp;MED)</t>
  </si>
  <si>
    <t xml:space="preserve">LISTER: Insurance: Workers Comp</t>
  </si>
  <si>
    <t xml:space="preserve">LISTER: Child Care Contribution Act 76</t>
  </si>
  <si>
    <t xml:space="preserve">Equipment &amp; Office supplies purchases</t>
  </si>
  <si>
    <t xml:space="preserve">Lister Computer expense &amp; software</t>
  </si>
  <si>
    <t xml:space="preserve">Listing Mileage/Expenses</t>
  </si>
  <si>
    <t xml:space="preserve">Clerk's /Listers Courses &amp; Training</t>
  </si>
  <si>
    <t xml:space="preserve">Lister NEMRC Assessor Contract</t>
  </si>
  <si>
    <t xml:space="preserve">Lister/ParcelMapping</t>
  </si>
  <si>
    <t xml:space="preserve">Consultant/Support Fees </t>
  </si>
  <si>
    <t xml:space="preserve">Total Listers:</t>
  </si>
  <si>
    <t xml:space="preserve">TOTAL ADMINISTRATION</t>
  </si>
  <si>
    <t xml:space="preserve">TOWN HALL BUILDING</t>
  </si>
  <si>
    <t xml:space="preserve">Electricity</t>
  </si>
  <si>
    <t xml:space="preserve">Heat</t>
  </si>
  <si>
    <t xml:space="preserve">Grounds</t>
  </si>
  <si>
    <t xml:space="preserve">Building Repairs</t>
  </si>
  <si>
    <t xml:space="preserve">Street Lights</t>
  </si>
  <si>
    <t xml:space="preserve">Janitorial</t>
  </si>
  <si>
    <t xml:space="preserve">TOTAL TOWN HALL</t>
  </si>
  <si>
    <t xml:space="preserve">PUBLIC SAFETY</t>
  </si>
  <si>
    <t xml:space="preserve">Wages: Health Officer</t>
  </si>
  <si>
    <t xml:space="preserve">Wages: Animal Control Officer</t>
  </si>
  <si>
    <t xml:space="preserve">P/S : Payroll Tax (SS &amp; MED )</t>
  </si>
  <si>
    <t xml:space="preserve">P/S : Payroll Tax ACT76 Child Care</t>
  </si>
  <si>
    <t xml:space="preserve">P/S: Workers Compensation</t>
  </si>
  <si>
    <t xml:space="preserve">Public Safety: unemployment</t>
  </si>
  <si>
    <t xml:space="preserve">Insurance Property &amp; Casulty</t>
  </si>
  <si>
    <t xml:space="preserve">Courses/Seminars</t>
  </si>
  <si>
    <t xml:space="preserve">Ambulance</t>
  </si>
  <si>
    <t xml:space="preserve">Speed Enforcement</t>
  </si>
  <si>
    <t xml:space="preserve">Dog Pound-Other Animal Control Expenses</t>
  </si>
  <si>
    <t xml:space="preserve">Emergency Management</t>
  </si>
  <si>
    <t xml:space="preserve">Total Public Safety</t>
  </si>
  <si>
    <t xml:space="preserve">FIRE DEPARTMENT</t>
  </si>
  <si>
    <t xml:space="preserve">FD-Insurance: Property &amp; Casualty</t>
  </si>
  <si>
    <t xml:space="preserve">FD-Insurance: Workers Compensation</t>
  </si>
  <si>
    <t xml:space="preserve">FD-Supplies</t>
  </si>
  <si>
    <t xml:space="preserve">FD-Equipment Repair</t>
  </si>
  <si>
    <t xml:space="preserve">FD-Equipment Purchase</t>
  </si>
  <si>
    <t xml:space="preserve">FD-Telephone</t>
  </si>
  <si>
    <t xml:space="preserve">FD-Fast Squad</t>
  </si>
  <si>
    <t xml:space="preserve">FD-Electricity</t>
  </si>
  <si>
    <t xml:space="preserve">FD-Fuel - Heat</t>
  </si>
  <si>
    <t xml:space="preserve">FD-Building Maintenance</t>
  </si>
  <si>
    <t xml:space="preserve">FD-Radio Dispatch</t>
  </si>
  <si>
    <t xml:space="preserve">FD-VSFA/Dues/Accounting/Training</t>
  </si>
  <si>
    <t xml:space="preserve">Courses &amp; Seminars</t>
  </si>
  <si>
    <t xml:space="preserve">FD-Forest Fire Warden</t>
  </si>
  <si>
    <t xml:space="preserve">FD-GAS &amp; Diesel</t>
  </si>
  <si>
    <t xml:space="preserve">FD-Stipends</t>
  </si>
  <si>
    <t xml:space="preserve">FD: Payroll Taxes</t>
  </si>
  <si>
    <t xml:space="preserve">FD: Childcare Contributions</t>
  </si>
  <si>
    <t xml:space="preserve">FD-Communication/Radio</t>
  </si>
  <si>
    <t xml:space="preserve">FD: Subcontracted Services</t>
  </si>
  <si>
    <t xml:space="preserve">FD: Towing</t>
  </si>
  <si>
    <t xml:space="preserve">FD Sub-Total</t>
  </si>
  <si>
    <t xml:space="preserve">FIRE DEPARTMENT DEBT SERVICE</t>
  </si>
  <si>
    <t xml:space="preserve">Fire Station Bond</t>
  </si>
  <si>
    <t xml:space="preserve">Fire Station Interest</t>
  </si>
  <si>
    <t xml:space="preserve">VTECH Freightliner Tanker - PRIN</t>
  </si>
  <si>
    <t xml:space="preserve">VTECH Freightliner Tanker - INT</t>
  </si>
  <si>
    <t xml:space="preserve">F/D DEBT SERVICE Sub Total</t>
  </si>
  <si>
    <t xml:space="preserve">TOTAL FIRE DEPARTMENT</t>
  </si>
  <si>
    <t xml:space="preserve">PUBLIC WORKS</t>
  </si>
  <si>
    <t xml:space="preserve">Winter Maintenance</t>
  </si>
  <si>
    <t xml:space="preserve">Road Salt</t>
  </si>
  <si>
    <t xml:space="preserve">Winter Sand</t>
  </si>
  <si>
    <t xml:space="preserve">Trucking</t>
  </si>
  <si>
    <t xml:space="preserve">Tire Chains</t>
  </si>
  <si>
    <t xml:space="preserve">Salt Shed</t>
  </si>
  <si>
    <t xml:space="preserve">WINTER MAINTENANCE SUBTOTAL</t>
  </si>
  <si>
    <t xml:space="preserve">Summer Maintenance</t>
  </si>
  <si>
    <t xml:space="preserve">Seed</t>
  </si>
  <si>
    <t xml:space="preserve">Hot Mix/Cold Patch</t>
  </si>
  <si>
    <t xml:space="preserve">Stone Ditch Lining </t>
  </si>
  <si>
    <t xml:space="preserve">Hay, Mulch, Netting</t>
  </si>
  <si>
    <t xml:space="preserve">Road Gravel</t>
  </si>
  <si>
    <t xml:space="preserve">Roadside Mowing</t>
  </si>
  <si>
    <t xml:space="preserve">Chloride</t>
  </si>
  <si>
    <t xml:space="preserve">Rental Equipment</t>
  </si>
  <si>
    <t xml:space="preserve">Tree Service</t>
  </si>
  <si>
    <t xml:space="preserve">Green-Up</t>
  </si>
  <si>
    <t xml:space="preserve">Storm Water Discharge Fee</t>
  </si>
  <si>
    <t xml:space="preserve">SUMMER MAINTENANCE SUBTOTAL</t>
  </si>
  <si>
    <t xml:space="preserve">Equipment Maintenance</t>
  </si>
  <si>
    <t xml:space="preserve">Equipment Repairs &amp; Vendors</t>
  </si>
  <si>
    <t xml:space="preserve">Equipment Parts &amp; Supplies</t>
  </si>
  <si>
    <t xml:space="preserve">Plow &amp; Sander Equipment</t>
  </si>
  <si>
    <t xml:space="preserve">Bulk Oil &amp; DEF</t>
  </si>
  <si>
    <t xml:space="preserve">Used Oil Recycling</t>
  </si>
  <si>
    <t xml:space="preserve">Inspections</t>
  </si>
  <si>
    <t xml:space="preserve">Towing</t>
  </si>
  <si>
    <t xml:space="preserve">Tires</t>
  </si>
  <si>
    <t xml:space="preserve">EQUIPMENT MAINTENANCE SUBTOTAL</t>
  </si>
  <si>
    <t xml:space="preserve">Specialized Services</t>
  </si>
  <si>
    <t xml:space="preserve">Sub Contractor</t>
  </si>
  <si>
    <t xml:space="preserve">Road Inventory Software</t>
  </si>
  <si>
    <t xml:space="preserve">SPECIALIZED SERVICES SUBTOTAL</t>
  </si>
  <si>
    <t xml:space="preserve">Garage Maintenance</t>
  </si>
  <si>
    <t xml:space="preserve">Shop Supplies (Towels, Rags, etc)</t>
  </si>
  <si>
    <t xml:space="preserve">Waste Disposal</t>
  </si>
  <si>
    <t xml:space="preserve">Air Gas Services</t>
  </si>
  <si>
    <t xml:space="preserve">Vermont State UST Fee</t>
  </si>
  <si>
    <t xml:space="preserve">Fuel Tank Maintenance</t>
  </si>
  <si>
    <t xml:space="preserve">Garage Door Maintenance</t>
  </si>
  <si>
    <t xml:space="preserve">Office Supplies &amp; Misc</t>
  </si>
  <si>
    <t xml:space="preserve">Small Tool Purchases</t>
  </si>
  <si>
    <t xml:space="preserve">Building Maintenance</t>
  </si>
  <si>
    <t xml:space="preserve">GARAGE MAINTENANCE SUBTOTAL</t>
  </si>
  <si>
    <t xml:space="preserve">Utilities</t>
  </si>
  <si>
    <t xml:space="preserve">Electricty</t>
  </si>
  <si>
    <t xml:space="preserve">Phone</t>
  </si>
  <si>
    <t xml:space="preserve">UTILITIES SUBTOTAL</t>
  </si>
  <si>
    <t xml:space="preserve">Gas &amp; Diesel</t>
  </si>
  <si>
    <t xml:space="preserve">GAS</t>
  </si>
  <si>
    <t xml:space="preserve">Diesel</t>
  </si>
  <si>
    <t xml:space="preserve">Gas &amp; Diesel Sub-Total</t>
  </si>
  <si>
    <t xml:space="preserve">Wages &amp; Benefits</t>
  </si>
  <si>
    <t xml:space="preserve">Wages: Foreman &amp; Crew</t>
  </si>
  <si>
    <t xml:space="preserve">Wages:Road Commissioner</t>
  </si>
  <si>
    <t xml:space="preserve">P/W : Payroll Tax (SS &amp; MED)</t>
  </si>
  <si>
    <t xml:space="preserve">P/W : Payroll Tax Child Care Contribution</t>
  </si>
  <si>
    <t xml:space="preserve">Unemployment Taxes</t>
  </si>
  <si>
    <t xml:space="preserve">Retirement</t>
  </si>
  <si>
    <t xml:space="preserve">Life &amp; ADD&amp; Long Term Disability</t>
  </si>
  <si>
    <t xml:space="preserve">Health Insurance Premium &amp; HSA</t>
  </si>
  <si>
    <t xml:space="preserve">Dental &amp; Vision</t>
  </si>
  <si>
    <t xml:space="preserve">Uniforms, Safety Equip, DOT Compliance</t>
  </si>
  <si>
    <t xml:space="preserve">Property &amp; Casualty Insurance</t>
  </si>
  <si>
    <t xml:space="preserve">Workers Comp Insurance</t>
  </si>
  <si>
    <t xml:space="preserve">Mileage Reimbursement</t>
  </si>
  <si>
    <t xml:space="preserve">Wages &amp; Benefits Sub-Total</t>
  </si>
  <si>
    <t xml:space="preserve">HWY/MISC</t>
  </si>
  <si>
    <t xml:space="preserve">Culverts</t>
  </si>
  <si>
    <t xml:space="preserve">Signs</t>
  </si>
  <si>
    <t xml:space="preserve">Guardrails</t>
  </si>
  <si>
    <t xml:space="preserve">Small Equipment Purchase </t>
  </si>
  <si>
    <t xml:space="preserve">Grants: Town Match</t>
  </si>
  <si>
    <t xml:space="preserve">HWY/MISC Sub-Total</t>
  </si>
  <si>
    <t xml:space="preserve">CONSTRUCTION</t>
  </si>
  <si>
    <t xml:space="preserve">Gravel</t>
  </si>
  <si>
    <t xml:space="preserve">Ditch Stone</t>
  </si>
  <si>
    <t xml:space="preserve">Hydro Seeding</t>
  </si>
  <si>
    <t xml:space="preserve">Ledge Removal</t>
  </si>
  <si>
    <t xml:space="preserve">Erosion Matting</t>
  </si>
  <si>
    <t xml:space="preserve">Mud Season Mitigation</t>
  </si>
  <si>
    <t xml:space="preserve">CONSTRUCTION SUBTOTAL</t>
  </si>
  <si>
    <t xml:space="preserve">Flood Disaster-Unbudgeted</t>
  </si>
  <si>
    <t xml:space="preserve">Highway -Emergency Flood 2023</t>
  </si>
  <si>
    <t xml:space="preserve">Highway -Emergency Flood 2024</t>
  </si>
  <si>
    <t xml:space="preserve">Flood Disaster-Unbudgeted Subtotal</t>
  </si>
  <si>
    <t xml:space="preserve">Public Works Sub Total</t>
  </si>
  <si>
    <t xml:space="preserve">PUBLIC WORKS DEBT SERVICE</t>
  </si>
  <si>
    <t xml:space="preserve">2023 Kenworth Dump</t>
  </si>
  <si>
    <t xml:space="preserve">2023 Kenworth Dump - INT</t>
  </si>
  <si>
    <t xml:space="preserve">2021 John Deere Grader</t>
  </si>
  <si>
    <t xml:space="preserve">2022 John Deere Grader-INT</t>
  </si>
  <si>
    <t xml:space="preserve">2019 Freightliner Dump </t>
  </si>
  <si>
    <t xml:space="preserve">2019 Freightliner Dump-INT</t>
  </si>
  <si>
    <t xml:space="preserve">2024 Case Excavator-PRIN</t>
  </si>
  <si>
    <t xml:space="preserve">2024 Case Excavator-INT</t>
  </si>
  <si>
    <t xml:space="preserve">Flood Disaster - Principal&amp; Interest</t>
  </si>
  <si>
    <t xml:space="preserve">P/ W DEBT SERVICE -Sub Total</t>
  </si>
  <si>
    <t xml:space="preserve">TOTAL HIGHWAY</t>
  </si>
  <si>
    <t xml:space="preserve">CEMETERY</t>
  </si>
  <si>
    <t xml:space="preserve">Contracted Services</t>
  </si>
  <si>
    <t xml:space="preserve">Materials</t>
  </si>
  <si>
    <t xml:space="preserve">Cemetery-Flood 2023</t>
  </si>
  <si>
    <t xml:space="preserve">TOTAL CEMETERY</t>
  </si>
  <si>
    <t xml:space="preserve">RECREATION</t>
  </si>
  <si>
    <t xml:space="preserve">Wages:  Recreation</t>
  </si>
  <si>
    <t xml:space="preserve">REC: Payroll Tax SS&amp; Med</t>
  </si>
  <si>
    <t xml:space="preserve">REC: Child Care Contribution</t>
  </si>
  <si>
    <t xml:space="preserve">REC:Workers Comp Insurance</t>
  </si>
  <si>
    <t xml:space="preserve">Rec Unemployment</t>
  </si>
  <si>
    <t xml:space="preserve">Dues, Conferences, Travel</t>
  </si>
  <si>
    <t xml:space="preserve">Insurance: Property &amp; Casualty</t>
  </si>
  <si>
    <t xml:space="preserve">Wrightsville Beach Dues</t>
  </si>
  <si>
    <t xml:space="preserve">Town BOR- Expenses</t>
  </si>
  <si>
    <t xml:space="preserve">Recreation Supplies (seed, soil, fertilizer)</t>
  </si>
  <si>
    <t xml:space="preserve">Portalet Rental Recreation field</t>
  </si>
  <si>
    <t xml:space="preserve">Learn to Swim Program</t>
  </si>
  <si>
    <t xml:space="preserve">Recreation Equipment (nets/hardware)</t>
  </si>
  <si>
    <t xml:space="preserve">Ice Rink</t>
  </si>
  <si>
    <t xml:space="preserve">Walter Kelly Park-Mowing &amp; Portalet</t>
  </si>
  <si>
    <t xml:space="preserve">Facility Maintenance</t>
  </si>
  <si>
    <t xml:space="preserve">Band Stand </t>
  </si>
  <si>
    <t xml:space="preserve">TOTAL RECREATION</t>
  </si>
  <si>
    <t xml:space="preserve">ZONING/DRB</t>
  </si>
  <si>
    <t xml:space="preserve">Wages: Zoning</t>
  </si>
  <si>
    <t xml:space="preserve">Zoning: Payroll Tax</t>
  </si>
  <si>
    <t xml:space="preserve">Zoning: Child Cre Contribution</t>
  </si>
  <si>
    <t xml:space="preserve">Zoning: Workers Compensation</t>
  </si>
  <si>
    <t xml:space="preserve">Mileage/expenses</t>
  </si>
  <si>
    <t xml:space="preserve">Advertising</t>
  </si>
  <si>
    <t xml:space="preserve">Zoning: Legal/enforcement</t>
  </si>
  <si>
    <t xml:space="preserve">Total Zoning/DRB </t>
  </si>
  <si>
    <t xml:space="preserve">PLANNING COMMISSION</t>
  </si>
  <si>
    <t xml:space="preserve">Mail Drop/Postage</t>
  </si>
  <si>
    <t xml:space="preserve">Printing &amp; Copying</t>
  </si>
  <si>
    <t xml:space="preserve">Consultation &amp; Mapping</t>
  </si>
  <si>
    <t xml:space="preserve">PC Legal</t>
  </si>
  <si>
    <t xml:space="preserve">Future Grant Match</t>
  </si>
  <si>
    <t xml:space="preserve">NRPA-Natural Res Mapping</t>
  </si>
  <si>
    <t xml:space="preserve">Total Planning Commission</t>
  </si>
  <si>
    <t xml:space="preserve">Total Operating Budget</t>
  </si>
  <si>
    <t xml:space="preserve">CIP FUNDING(Capital Improvement Planning)</t>
  </si>
  <si>
    <t xml:space="preserve">Town Hall Building Fund </t>
  </si>
  <si>
    <t xml:space="preserve">Equipment/Computer purchases &amp; upgrades</t>
  </si>
  <si>
    <t xml:space="preserve">Asset-Equipment Fund</t>
  </si>
  <si>
    <t xml:space="preserve">Reappraisal Fund</t>
  </si>
  <si>
    <t xml:space="preserve">Highway:</t>
  </si>
  <si>
    <t xml:space="preserve">Highway Garage &amp; Accessory Building Fund</t>
  </si>
  <si>
    <t xml:space="preserve">Heavy Equipment &amp; Vehicle Upgrades/Purchases</t>
  </si>
  <si>
    <t xml:space="preserve">Bridge Fund</t>
  </si>
  <si>
    <t xml:space="preserve">Paving &amp; Construction Fund</t>
  </si>
  <si>
    <t xml:space="preserve">Public Safety/Fire Department</t>
  </si>
  <si>
    <t xml:space="preserve">.</t>
  </si>
  <si>
    <t xml:space="preserve">Equipment Upgrades/Purchases</t>
  </si>
  <si>
    <t xml:space="preserve">Vehicle Purchases</t>
  </si>
  <si>
    <t xml:space="preserve">Radio Dispatch upgrade</t>
  </si>
  <si>
    <t xml:space="preserve">Recreation:</t>
  </si>
  <si>
    <t xml:space="preserve">Structures &amp; Grounds Upgrades</t>
  </si>
  <si>
    <t xml:space="preserve">Tennis Court Rehab</t>
  </si>
  <si>
    <t xml:space="preserve">Total CIP Funding</t>
  </si>
  <si>
    <t xml:space="preserve">TOTAL TOWN BUDGET</t>
  </si>
  <si>
    <t xml:space="preserve">SPECIAL ARTICLES</t>
  </si>
  <si>
    <t xml:space="preserve">Middlesex Conservation Fund</t>
  </si>
  <si>
    <t xml:space="preserve">CV Council on Aging</t>
  </si>
  <si>
    <t xml:space="preserve">CV Home Health &amp; Hospice</t>
  </si>
  <si>
    <t xml:space="preserve">Middlesex Community Conn.</t>
  </si>
  <si>
    <t xml:space="preserve">Youth First Mentoring</t>
  </si>
  <si>
    <t xml:space="preserve">Kellogg-Hubbard Library</t>
  </si>
  <si>
    <t xml:space="preserve">Montpelier Senior Center</t>
  </si>
  <si>
    <t xml:space="preserve">North Branch Nature Center</t>
  </si>
  <si>
    <t xml:space="preserve">Waterbury Area Senior Center</t>
  </si>
  <si>
    <t xml:space="preserve">Childrens Room</t>
  </si>
  <si>
    <t xml:space="preserve">Town Hall Design Plan ( Article 8)</t>
  </si>
  <si>
    <t xml:space="preserve">By Request: Under $251</t>
  </si>
  <si>
    <t xml:space="preserve">American Red Cross</t>
  </si>
  <si>
    <t xml:space="preserve">CV Adult Basic Education</t>
  </si>
  <si>
    <t xml:space="preserve">CV Economic Development</t>
  </si>
  <si>
    <t xml:space="preserve">Circle</t>
  </si>
  <si>
    <t xml:space="preserve">Community Harvest of Central Vermont</t>
  </si>
  <si>
    <t xml:space="preserve">Family Center of Washington County</t>
  </si>
  <si>
    <t xml:space="preserve">Good Samaritan Haven</t>
  </si>
  <si>
    <t xml:space="preserve">Green Mtn Transit</t>
  </si>
  <si>
    <t xml:space="preserve">Green Up Vermont</t>
  </si>
  <si>
    <t xml:space="preserve">Montpelier Veteran's Council</t>
  </si>
  <si>
    <t xml:space="preserve">Our House of Central Vermont</t>
  </si>
  <si>
    <t xml:space="preserve">MOSAIC Sexual Assault Crisis Team</t>
  </si>
  <si>
    <t xml:space="preserve">VT Assoc for the Blind</t>
  </si>
  <si>
    <t xml:space="preserve">VT Center for Independent Living</t>
  </si>
  <si>
    <t xml:space="preserve">Vermont Family Network</t>
  </si>
  <si>
    <t xml:space="preserve">Washington County Diversion</t>
  </si>
  <si>
    <t xml:space="preserve">ELEVATE (Washington County Youth Service)</t>
  </si>
  <si>
    <t xml:space="preserve">Sub-Total Special Articles</t>
  </si>
  <si>
    <t xml:space="preserve">TOTAL BUDGET Plus Special Articles</t>
  </si>
  <si>
    <t xml:space="preserve">FY25 Rate of Pay</t>
  </si>
  <si>
    <t xml:space="preserve">FY2026 Proposed</t>
  </si>
  <si>
    <t xml:space="preserve">2026 Est Hrs</t>
  </si>
  <si>
    <t xml:space="preserve">Est OT (225 Hours)</t>
  </si>
  <si>
    <t xml:space="preserve">FY 2025 Estimated Gross</t>
  </si>
  <si>
    <t xml:space="preserve">SS  6.2% MD 1.45%</t>
  </si>
  <si>
    <t xml:space="preserve">ACT 76</t>
  </si>
  <si>
    <t xml:space="preserve">Unemp Ins (15,000)</t>
  </si>
  <si>
    <t xml:space="preserve">Health, Dental,Vision</t>
  </si>
  <si>
    <t xml:space="preserve">Life/LTD/ AD&amp;D</t>
  </si>
  <si>
    <t xml:space="preserve">W/C Rate per $100</t>
  </si>
  <si>
    <t xml:space="preserve">W/C</t>
  </si>
  <si>
    <t xml:space="preserve">Total Compensation w/benefits</t>
  </si>
  <si>
    <t xml:space="preserve">Larry Rooney</t>
  </si>
  <si>
    <t xml:space="preserve">Stacey Skadberg</t>
  </si>
  <si>
    <t xml:space="preserve">Paul Cerminera</t>
  </si>
  <si>
    <t xml:space="preserve">Elizabeth Scharf-Chair</t>
  </si>
  <si>
    <t xml:space="preserve">Zara Vincent-Vice Chair</t>
  </si>
  <si>
    <t xml:space="preserve">Zara Vincent FEMA</t>
  </si>
  <si>
    <t xml:space="preserve">Town Administrator</t>
  </si>
  <si>
    <t xml:space="preserve">Meeting Minute Taker</t>
  </si>
  <si>
    <t xml:space="preserve">Total General Government</t>
  </si>
  <si>
    <t xml:space="preserve">Office Staff</t>
  </si>
  <si>
    <t xml:space="preserve">Town Clerk</t>
  </si>
  <si>
    <t xml:space="preserve">Asst Town Clerk </t>
  </si>
  <si>
    <t xml:space="preserve">Treasurer</t>
  </si>
  <si>
    <t xml:space="preserve">Assistant Treasurer</t>
  </si>
  <si>
    <t xml:space="preserve">Total Office Staff</t>
  </si>
  <si>
    <t xml:space="preserve">Listers</t>
  </si>
  <si>
    <t xml:space="preserve">Shelly Desjardin</t>
  </si>
  <si>
    <t xml:space="preserve">Sam Beaudoin</t>
  </si>
  <si>
    <t xml:space="preserve">Shawn McVeigh</t>
  </si>
  <si>
    <t xml:space="preserve">Total Listers</t>
  </si>
  <si>
    <t xml:space="preserve">Delinquent Tax Collector</t>
  </si>
  <si>
    <t xml:space="preserve">Cheryl Grandfield</t>
  </si>
  <si>
    <t xml:space="preserve">Rec Dept</t>
  </si>
  <si>
    <t xml:space="preserve">Mitch Osiecki</t>
  </si>
  <si>
    <t xml:space="preserve">Zoning</t>
  </si>
  <si>
    <t xml:space="preserve">Kevin Thompson</t>
  </si>
  <si>
    <t xml:space="preserve">Assistant Zoning--VACANT</t>
  </si>
  <si>
    <t xml:space="preserve">Health Officer</t>
  </si>
  <si>
    <t xml:space="preserve">Dr. Penny</t>
  </si>
  <si>
    <t xml:space="preserve">Animal Control</t>
  </si>
  <si>
    <t xml:space="preserve">Christina Hayward</t>
  </si>
  <si>
    <t xml:space="preserve">Highway</t>
  </si>
  <si>
    <t xml:space="preserve">Eric Metivier</t>
  </si>
  <si>
    <t xml:space="preserve">James Files</t>
  </si>
  <si>
    <t xml:space="preserve">Benjamin Abare</t>
  </si>
  <si>
    <t xml:space="preserve">Richard Dudley</t>
  </si>
  <si>
    <t xml:space="preserve">Road Commissioner</t>
  </si>
  <si>
    <t xml:space="preserve">Total Highway</t>
  </si>
  <si>
    <t xml:space="preserve">Total Town Wages&amp; Benefits</t>
  </si>
  <si>
    <t xml:space="preserve">HEALTH/DENTAL/VISION</t>
  </si>
  <si>
    <t xml:space="preserve">2025 BCBS</t>
  </si>
  <si>
    <t xml:space="preserve">MVP GOLD</t>
  </si>
  <si>
    <t xml:space="preserve">MVP Silver</t>
  </si>
  <si>
    <t xml:space="preserve">Town Admin</t>
  </si>
  <si>
    <t xml:space="preserve">Road Crew </t>
  </si>
  <si>
    <t xml:space="preserve">Road Foreman</t>
  </si>
  <si>
    <t xml:space="preserve">Road Crew</t>
  </si>
  <si>
    <t xml:space="preserve">Assistant Clerk</t>
  </si>
  <si>
    <t xml:space="preserve">TOTAL</t>
  </si>
  <si>
    <t xml:space="preserve">Single</t>
  </si>
  <si>
    <t xml:space="preserve">2-Person</t>
  </si>
  <si>
    <t xml:space="preserve">TWO Person</t>
  </si>
  <si>
    <t xml:space="preserve">Adult &amp; Child</t>
  </si>
  <si>
    <t xml:space="preserve">Health Premium</t>
  </si>
  <si>
    <t xml:space="preserve">Family</t>
  </si>
  <si>
    <t xml:space="preserve">Dental </t>
  </si>
  <si>
    <t xml:space="preserve">Vision</t>
  </si>
  <si>
    <t xml:space="preserve">HSA Contribution Employee</t>
  </si>
  <si>
    <t xml:space="preserve">w/spouse</t>
  </si>
  <si>
    <t xml:space="preserve">HSA Contribution</t>
  </si>
  <si>
    <t xml:space="preserve">Dental</t>
  </si>
  <si>
    <t xml:space="preserve">2026 est (10%)</t>
  </si>
  <si>
    <t xml:space="preserve">w/Spouse</t>
  </si>
  <si>
    <t xml:space="preserve">2018/2019 Increase</t>
  </si>
  <si>
    <t xml:space="preserve">2020 Est. Increase</t>
  </si>
  <si>
    <t xml:space="preserve">2019/2020 actual increase</t>
  </si>
  <si>
    <t xml:space="preserve">2021 est. increase</t>
  </si>
  <si>
    <t xml:space="preserve">2021 actual</t>
  </si>
  <si>
    <t xml:space="preserve">2022 est increase</t>
  </si>
  <si>
    <t xml:space="preserve">2022 actual</t>
  </si>
  <si>
    <t xml:space="preserve">2023 decrease</t>
  </si>
  <si>
    <t xml:space="preserve">2024 increase</t>
  </si>
  <si>
    <t xml:space="preserve">2025 Increase</t>
  </si>
  <si>
    <t xml:space="preserve">2026 Increase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</si>
</sst>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"/>
    <numFmt numFmtId="166" formatCode="0%"/>
    <numFmt numFmtId="167" formatCode="0.00%"/>
    <numFmt numFmtId="168" formatCode="_(\$* #,##0.00_);_(\$* \(#,##0.00\);_(\$* \-??_);_(@_)"/>
    <numFmt numFmtId="169" formatCode="0"/>
    <numFmt numFmtId="170" formatCode="0.0%"/>
    <numFmt numFmtId="171" formatCode="0.000%"/>
    <numFmt numFmtId="172" formatCode="\$#,##0.00;[RED]\$#,##0.00"/>
    <numFmt numFmtId="173" formatCode="\$#,##0.00"/>
    <numFmt numFmtId="174" formatCode="\$#,##0.00_);[RED]&quot;($&quot;#,##0.00\)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name val="Calibri"/>
      <family val="2"/>
      <charset val="1"/>
    </font>
    <font>
      <sz val="9"/>
      <color theme="1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u val="single"/>
      <sz val="11"/>
      <color rgb="FF0000FF"/>
      <name val="Calibri"/>
      <family val="2"/>
      <charset val="1"/>
    </font>
    <font>
      <u val="single"/>
      <sz val="11"/>
      <color theme="10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5" tint="0.7999"/>
        <bgColor rgb="FFE6E0EC"/>
      </patternFill>
    </fill>
    <fill>
      <patternFill patternType="solid">
        <fgColor theme="5" tint="0.5999"/>
        <bgColor rgb="FFFAC090"/>
      </patternFill>
    </fill>
    <fill>
      <patternFill patternType="solid">
        <fgColor rgb="FFFFFF00"/>
        <bgColor rgb="FFFFFF00"/>
      </patternFill>
    </fill>
    <fill>
      <patternFill patternType="solid">
        <fgColor theme="7" tint="0.5999"/>
        <bgColor rgb="FFBFBFBF"/>
      </patternFill>
    </fill>
    <fill>
      <patternFill patternType="solid">
        <fgColor theme="3" tint="0.7999"/>
        <bgColor rgb="FFE6E0EC"/>
      </patternFill>
    </fill>
    <fill>
      <patternFill patternType="solid">
        <fgColor theme="2" tint="-0.25"/>
        <bgColor rgb="FFBFBFBF"/>
      </patternFill>
    </fill>
    <fill>
      <patternFill patternType="solid">
        <fgColor theme="5" tint="0.3999"/>
        <bgColor rgb="FFE6B9B8"/>
      </patternFill>
    </fill>
    <fill>
      <patternFill patternType="solid">
        <fgColor theme="9" tint="-0.25"/>
        <bgColor rgb="FFFF9900"/>
      </patternFill>
    </fill>
    <fill>
      <patternFill patternType="solid">
        <fgColor theme="9" tint="0.3999"/>
        <bgColor rgb="FFE6B9B8"/>
      </patternFill>
    </fill>
    <fill>
      <patternFill patternType="solid">
        <fgColor rgb="FFFF3399"/>
        <bgColor rgb="FFFF00FF"/>
      </patternFill>
    </fill>
    <fill>
      <patternFill patternType="solid">
        <fgColor theme="0" tint="-0.25"/>
        <bgColor rgb="FFCCC1DA"/>
      </patternFill>
    </fill>
    <fill>
      <patternFill patternType="solid">
        <fgColor rgb="FFD4EA6B"/>
        <bgColor rgb="FFC4BD97"/>
      </patternFill>
    </fill>
    <fill>
      <patternFill patternType="solid">
        <fgColor theme="0" tint="-0.05"/>
        <bgColor rgb="FFFFFFFF"/>
      </patternFill>
    </fill>
    <fill>
      <patternFill patternType="solid">
        <fgColor theme="7" tint="0.7999"/>
        <bgColor rgb="FFF2DCD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1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0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0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8" fontId="6" fillId="3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4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6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2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7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7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7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8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8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8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8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7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9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9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1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1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1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11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1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1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5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7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1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3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5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14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8" fontId="0" fillId="2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70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1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1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1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5" fillId="1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1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1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3399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6E0EC"/>
      <rgbColor rgb="FF660066"/>
      <rgbColor rgb="FFD99694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2DCDB"/>
      <rgbColor rgb="FFD4EA6B"/>
      <rgbColor rgb="FFCCC1DA"/>
      <rgbColor rgb="FFE6B9B8"/>
      <rgbColor rgb="FFCC99FF"/>
      <rgbColor rgb="FFFAC090"/>
      <rgbColor rgb="FF3366FF"/>
      <rgbColor rgb="FF33CCCC"/>
      <rgbColor rgb="FF99CC00"/>
      <rgbColor rgb="FFFFCC00"/>
      <rgbColor rgb="FFFF9900"/>
      <rgbColor rgb="FFE46C0A"/>
      <rgbColor rgb="FF666699"/>
      <rgbColor rgb="FFC4BD9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clerk/Documents/Budgets/2016%20Budget%201.10.16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6 Budget"/>
      <sheetName val="note for recording"/>
      <sheetName val="Salaries &amp; taxes &amp; Retirement"/>
      <sheetName val="Insuranc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spouse@100%25" TargetMode="External"/><Relationship Id="rId2" Type="http://schemas.openxmlformats.org/officeDocument/2006/relationships/hyperlink" Target="mailto:kids@50%25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311" activePane="bottomLeft" state="frozen"/>
      <selection pane="topLeft" activeCell="A1" activeCellId="0" sqref="A1"/>
      <selection pane="bottomLeft" activeCell="I41" activeCellId="0" sqref="I41"/>
    </sheetView>
  </sheetViews>
  <sheetFormatPr defaultColWidth="8.6796875" defaultRowHeight="14.25" customHeight="true" zeroHeight="false" outlineLevelRow="4" outlineLevelCol="1"/>
  <cols>
    <col collapsed="false" customWidth="true" hidden="false" outlineLevel="0" max="1" min="1" style="1" width="54.56"/>
    <col collapsed="false" customWidth="true" hidden="false" outlineLevel="0" max="2" min="2" style="1" width="15.66"/>
    <col collapsed="false" customWidth="true" hidden="false" outlineLevel="0" max="3" min="3" style="2" width="15.78"/>
    <col collapsed="false" customWidth="true" hidden="false" outlineLevel="1" max="4" min="4" style="1" width="15.56"/>
    <col collapsed="false" customWidth="true" hidden="false" outlineLevel="1" max="5" min="5" style="3" width="17.11"/>
    <col collapsed="false" customWidth="true" hidden="false" outlineLevel="1" max="6" min="6" style="1" width="17.44"/>
    <col collapsed="false" customWidth="true" hidden="false" outlineLevel="0" max="7" min="7" style="4" width="11.11"/>
    <col collapsed="false" customWidth="true" hidden="false" outlineLevel="0" max="8" min="8" style="1" width="13.56"/>
    <col collapsed="false" customWidth="true" hidden="false" outlineLevel="0" max="9" min="9" style="1" width="15.44"/>
    <col collapsed="false" customWidth="true" hidden="false" outlineLevel="0" max="10" min="10" style="5" width="14.56"/>
    <col collapsed="false" customWidth="true" hidden="false" outlineLevel="0" max="11" min="11" style="5" width="14.67"/>
  </cols>
  <sheetData>
    <row r="1" customFormat="false" ht="47.25" hidden="false" customHeight="true" outlineLevel="0" collapsed="false">
      <c r="A1" s="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10" t="s">
        <v>6</v>
      </c>
      <c r="H1" s="11"/>
    </row>
    <row r="2" customFormat="false" ht="23.85" hidden="false" customHeight="false" outlineLevel="0" collapsed="false">
      <c r="A2" s="6"/>
      <c r="B2" s="12" t="s">
        <v>7</v>
      </c>
      <c r="C2" s="12" t="s">
        <v>7</v>
      </c>
      <c r="D2" s="12" t="s">
        <v>8</v>
      </c>
      <c r="E2" s="12" t="s">
        <v>9</v>
      </c>
      <c r="F2" s="13"/>
      <c r="G2" s="14"/>
      <c r="H2" s="11"/>
    </row>
    <row r="3" customFormat="false" ht="14.25" hidden="false" customHeight="false" outlineLevel="0" collapsed="false">
      <c r="A3" s="15" t="s">
        <v>10</v>
      </c>
      <c r="B3" s="16"/>
      <c r="C3" s="17"/>
      <c r="D3" s="16"/>
      <c r="E3" s="16"/>
      <c r="F3" s="17"/>
      <c r="G3" s="18"/>
    </row>
    <row r="4" customFormat="false" ht="14.25" hidden="false" customHeight="false" outlineLevel="3" collapsed="false">
      <c r="A4" s="19" t="s">
        <v>11</v>
      </c>
      <c r="B4" s="20" t="n">
        <v>4018</v>
      </c>
      <c r="C4" s="21" t="n">
        <v>3881.35</v>
      </c>
      <c r="D4" s="20" t="n">
        <v>3500</v>
      </c>
      <c r="E4" s="20" t="n">
        <v>3500</v>
      </c>
      <c r="F4" s="21" t="n">
        <f aca="false">E4-D4</f>
        <v>0</v>
      </c>
      <c r="G4" s="22" t="n">
        <f aca="false">SUM(E4-D4)/D4</f>
        <v>0</v>
      </c>
    </row>
    <row r="5" customFormat="false" ht="14.25" hidden="false" customHeight="false" outlineLevel="3" collapsed="false">
      <c r="A5" s="19" t="s">
        <v>12</v>
      </c>
      <c r="B5" s="20" t="n">
        <v>30814</v>
      </c>
      <c r="C5" s="21" t="n">
        <v>23350.65</v>
      </c>
      <c r="D5" s="20" t="n">
        <v>7500</v>
      </c>
      <c r="E5" s="20" t="n">
        <f aca="false">'Salaries 3%'!H11</f>
        <v>0</v>
      </c>
      <c r="F5" s="21" t="n">
        <f aca="false">E5-D5</f>
        <v>-7500</v>
      </c>
      <c r="G5" s="22" t="n">
        <f aca="false">SUM(E5-D5)/D5</f>
        <v>-1</v>
      </c>
    </row>
    <row r="6" customFormat="false" ht="14.25" hidden="false" customHeight="false" outlineLevel="3" collapsed="false">
      <c r="A6" s="19" t="s">
        <v>13</v>
      </c>
      <c r="B6" s="20" t="n">
        <v>0</v>
      </c>
      <c r="C6" s="21" t="n">
        <v>24000.98</v>
      </c>
      <c r="D6" s="20" t="n">
        <v>0</v>
      </c>
      <c r="E6" s="20" t="n">
        <v>0</v>
      </c>
      <c r="F6" s="21" t="n">
        <f aca="false">E6-D6</f>
        <v>0</v>
      </c>
      <c r="G6" s="22" t="n">
        <v>0</v>
      </c>
    </row>
    <row r="7" customFormat="false" ht="14.25" hidden="false" customHeight="false" outlineLevel="3" collapsed="false">
      <c r="A7" s="19" t="s">
        <v>14</v>
      </c>
      <c r="B7" s="20" t="n">
        <v>0</v>
      </c>
      <c r="C7" s="21"/>
      <c r="D7" s="20" t="n">
        <v>9085</v>
      </c>
      <c r="E7" s="20" t="n">
        <f aca="false">'Salaries 3%'!H9</f>
        <v>0</v>
      </c>
      <c r="F7" s="21" t="n">
        <f aca="false">E7-D7</f>
        <v>-9085</v>
      </c>
      <c r="G7" s="22" t="n">
        <f aca="false">SUM(E7-D7)/D7</f>
        <v>-1</v>
      </c>
    </row>
    <row r="8" customFormat="false" ht="14.25" hidden="false" customHeight="false" outlineLevel="3" collapsed="false">
      <c r="A8" s="19" t="s">
        <v>15</v>
      </c>
      <c r="B8" s="20" t="n">
        <v>0</v>
      </c>
      <c r="C8" s="21" t="n">
        <v>0</v>
      </c>
      <c r="D8" s="20" t="n">
        <v>0</v>
      </c>
      <c r="E8" s="20" t="n">
        <f aca="false">'Salaries 3%'!H10</f>
        <v>72800</v>
      </c>
      <c r="F8" s="21" t="n">
        <f aca="false">E8-D8</f>
        <v>72800</v>
      </c>
      <c r="G8" s="22" t="s">
        <v>16</v>
      </c>
      <c r="I8" s="23" t="n">
        <f aca="false">E8/D330</f>
        <v>0.0359164221865197</v>
      </c>
    </row>
    <row r="9" customFormat="false" ht="14.25" hidden="false" customHeight="false" outlineLevel="3" collapsed="false">
      <c r="A9" s="24" t="s">
        <v>17</v>
      </c>
      <c r="B9" s="20" t="n">
        <v>2818</v>
      </c>
      <c r="C9" s="21" t="n">
        <f aca="false">4346.75+139.3</f>
        <v>4486.05</v>
      </c>
      <c r="D9" s="20" t="n">
        <v>1624.8765</v>
      </c>
      <c r="E9" s="20" t="n">
        <f aca="false">'Salaries 3%'!I12+'Salaries 3%'!J12</f>
        <v>6172.67</v>
      </c>
      <c r="F9" s="21" t="n">
        <f aca="false">E9-D9</f>
        <v>4547.7935</v>
      </c>
      <c r="G9" s="22" t="n">
        <f aca="false">SUM(E9-D9)/D9</f>
        <v>2.79885486681603</v>
      </c>
    </row>
    <row r="10" customFormat="false" ht="14.25" hidden="false" customHeight="false" outlineLevel="3" collapsed="false">
      <c r="A10" s="24" t="s">
        <v>18</v>
      </c>
      <c r="B10" s="20"/>
      <c r="C10" s="21"/>
      <c r="D10" s="20"/>
      <c r="E10" s="20" t="n">
        <f aca="false">'Salaries 3%'!N10</f>
        <v>444</v>
      </c>
      <c r="F10" s="21"/>
      <c r="G10" s="22" t="s">
        <v>16</v>
      </c>
    </row>
    <row r="11" customFormat="false" ht="14.25" hidden="false" customHeight="false" outlineLevel="3" collapsed="false">
      <c r="A11" s="24" t="s">
        <v>19</v>
      </c>
      <c r="B11" s="20" t="n">
        <v>0</v>
      </c>
      <c r="C11" s="21" t="n">
        <v>0</v>
      </c>
      <c r="D11" s="20"/>
      <c r="E11" s="20" t="n">
        <f aca="false">'Salaries 3%'!J12</f>
        <v>335.72</v>
      </c>
      <c r="F11" s="21" t="n">
        <f aca="false">E11-D11</f>
        <v>335.72</v>
      </c>
      <c r="G11" s="22" t="s">
        <v>16</v>
      </c>
    </row>
    <row r="12" customFormat="false" ht="14.25" hidden="false" customHeight="false" outlineLevel="3" collapsed="false">
      <c r="A12" s="24" t="s">
        <v>20</v>
      </c>
      <c r="B12" s="20" t="n">
        <v>2156.999936</v>
      </c>
      <c r="C12" s="21" t="n">
        <v>1511.14</v>
      </c>
      <c r="D12" s="20" t="n">
        <v>543.75</v>
      </c>
      <c r="E12" s="20" t="n">
        <f aca="false">'Salaries 3%'!K10</f>
        <v>5460</v>
      </c>
      <c r="F12" s="21" t="n">
        <f aca="false">E12-D12</f>
        <v>4916.25</v>
      </c>
      <c r="G12" s="22" t="n">
        <f aca="false">SUM(E12-D12)/D12</f>
        <v>9.04137931034483</v>
      </c>
    </row>
    <row r="13" customFormat="false" ht="14.25" hidden="false" customHeight="false" outlineLevel="3" collapsed="false">
      <c r="A13" s="24" t="s">
        <v>21</v>
      </c>
      <c r="B13" s="20" t="n">
        <v>6273</v>
      </c>
      <c r="C13" s="21" t="n">
        <v>4913.87</v>
      </c>
      <c r="D13" s="20" t="n">
        <v>7554.18936</v>
      </c>
      <c r="E13" s="20" t="n">
        <f aca="false">'Health Insurance'!I5+'Health Insurance'!I9+'Health Insurance'!I11</f>
        <v>30696.74</v>
      </c>
      <c r="F13" s="21" t="n">
        <f aca="false">E13-D13</f>
        <v>23142.55064</v>
      </c>
      <c r="G13" s="22" t="n">
        <f aca="false">SUM(E13-D13)/D13</f>
        <v>3.06353859257772</v>
      </c>
      <c r="I13" s="23" t="n">
        <f aca="false">(F13+E14+E15)/D330</f>
        <v>0.0119247211712485</v>
      </c>
    </row>
    <row r="14" customFormat="false" ht="14.25" hidden="false" customHeight="false" outlineLevel="3" collapsed="false">
      <c r="A14" s="24" t="s">
        <v>22</v>
      </c>
      <c r="B14" s="20"/>
      <c r="C14" s="21"/>
      <c r="D14" s="20"/>
      <c r="E14" s="20" t="n">
        <f aca="false">'Health Insurance'!I6</f>
        <v>924</v>
      </c>
      <c r="F14" s="21"/>
      <c r="G14" s="22" t="s">
        <v>16</v>
      </c>
    </row>
    <row r="15" customFormat="false" ht="14.25" hidden="false" customHeight="false" outlineLevel="3" collapsed="false">
      <c r="A15" s="24" t="s">
        <v>23</v>
      </c>
      <c r="B15" s="20"/>
      <c r="C15" s="21"/>
      <c r="D15" s="20"/>
      <c r="E15" s="20" t="n">
        <f aca="false">'Health Insurance'!I7</f>
        <v>104</v>
      </c>
      <c r="F15" s="21"/>
      <c r="G15" s="22" t="s">
        <v>16</v>
      </c>
    </row>
    <row r="16" customFormat="false" ht="14.25" hidden="false" customHeight="false" outlineLevel="3" collapsed="false">
      <c r="A16" s="19" t="s">
        <v>24</v>
      </c>
      <c r="B16" s="20" t="n">
        <v>8538</v>
      </c>
      <c r="C16" s="21" t="n">
        <v>10058.5</v>
      </c>
      <c r="D16" s="20" t="n">
        <v>4259.2</v>
      </c>
      <c r="E16" s="20" t="n">
        <v>11636.11</v>
      </c>
      <c r="F16" s="21" t="n">
        <f aca="false">E16-D16</f>
        <v>7376.91</v>
      </c>
      <c r="G16" s="22" t="n">
        <f aca="false">SUM(E16-D16)/D16</f>
        <v>1.73199427122464</v>
      </c>
    </row>
    <row r="17" customFormat="false" ht="14.25" hidden="false" customHeight="false" outlineLevel="3" collapsed="false">
      <c r="A17" s="19" t="s">
        <v>25</v>
      </c>
      <c r="B17" s="20" t="n">
        <v>0</v>
      </c>
      <c r="C17" s="21" t="n">
        <v>0</v>
      </c>
      <c r="D17" s="20" t="n">
        <v>4818.86</v>
      </c>
      <c r="E17" s="20" t="n">
        <v>1891.96</v>
      </c>
      <c r="F17" s="21" t="n">
        <f aca="false">E17-D17</f>
        <v>-2926.9</v>
      </c>
      <c r="G17" s="22" t="n">
        <f aca="false">SUM(E17-D17)/D17</f>
        <v>-0.607384319112819</v>
      </c>
    </row>
    <row r="18" customFormat="false" ht="14.25" hidden="false" customHeight="false" outlineLevel="3" collapsed="false">
      <c r="A18" s="19" t="s">
        <v>26</v>
      </c>
      <c r="B18" s="20" t="n">
        <v>370</v>
      </c>
      <c r="C18" s="21" t="n">
        <v>1742.14</v>
      </c>
      <c r="D18" s="20" t="n">
        <v>59.25</v>
      </c>
      <c r="E18" s="20" t="n">
        <f aca="false">'Salaries 3%'!P12</f>
        <v>575.12</v>
      </c>
      <c r="F18" s="21" t="n">
        <f aca="false">E18-D18</f>
        <v>515.87</v>
      </c>
      <c r="G18" s="22" t="n">
        <f aca="false">SUM(E18-D18)/D18</f>
        <v>8.70666666666667</v>
      </c>
    </row>
    <row r="19" customFormat="false" ht="14.25" hidden="false" customHeight="false" outlineLevel="3" collapsed="false">
      <c r="A19" s="19" t="s">
        <v>27</v>
      </c>
      <c r="B19" s="20" t="n">
        <v>70</v>
      </c>
      <c r="C19" s="21" t="n">
        <v>60.35</v>
      </c>
      <c r="D19" s="20" t="n">
        <v>72.52</v>
      </c>
      <c r="E19" s="20" t="n">
        <f aca="false">'Salaries 3%'!L12</f>
        <v>135</v>
      </c>
      <c r="F19" s="21" t="n">
        <f aca="false">E19-D19</f>
        <v>62.48</v>
      </c>
      <c r="G19" s="22" t="n">
        <f aca="false">SUM(E19-D19)/D19</f>
        <v>0.861555432984005</v>
      </c>
    </row>
    <row r="20" customFormat="false" ht="14.25" hidden="false" customHeight="false" outlineLevel="3" collapsed="false">
      <c r="A20" s="19" t="s">
        <v>28</v>
      </c>
      <c r="B20" s="20" t="n">
        <v>1000</v>
      </c>
      <c r="C20" s="21" t="n">
        <v>913.38</v>
      </c>
      <c r="D20" s="20" t="n">
        <v>1600</v>
      </c>
      <c r="E20" s="20" t="n">
        <v>1600</v>
      </c>
      <c r="F20" s="21" t="n">
        <f aca="false">E20-D20</f>
        <v>0</v>
      </c>
      <c r="G20" s="22" t="n">
        <f aca="false">SUM(E20-D20)/D20</f>
        <v>0</v>
      </c>
    </row>
    <row r="21" customFormat="false" ht="14.25" hidden="false" customHeight="false" outlineLevel="3" collapsed="false">
      <c r="A21" s="19" t="s">
        <v>29</v>
      </c>
      <c r="B21" s="20" t="n">
        <v>0</v>
      </c>
      <c r="C21" s="21" t="n">
        <v>35</v>
      </c>
      <c r="D21" s="20" t="n">
        <v>250</v>
      </c>
      <c r="E21" s="20" t="n">
        <v>250</v>
      </c>
      <c r="F21" s="21" t="n">
        <f aca="false">E21-D21</f>
        <v>0</v>
      </c>
      <c r="G21" s="22" t="n">
        <f aca="false">SUM(E21-D21)/D21</f>
        <v>0</v>
      </c>
    </row>
    <row r="22" customFormat="false" ht="14.25" hidden="false" customHeight="false" outlineLevel="3" collapsed="false">
      <c r="A22" s="19" t="s">
        <v>30</v>
      </c>
      <c r="B22" s="20" t="n">
        <v>1350</v>
      </c>
      <c r="C22" s="21" t="n">
        <v>2918.83</v>
      </c>
      <c r="D22" s="20" t="n">
        <v>2500</v>
      </c>
      <c r="E22" s="20" t="n">
        <v>3000</v>
      </c>
      <c r="F22" s="21" t="n">
        <f aca="false">E22-D22</f>
        <v>500</v>
      </c>
      <c r="G22" s="22" t="n">
        <f aca="false">SUM(E22-D22)/D22</f>
        <v>0.2</v>
      </c>
    </row>
    <row r="23" customFormat="false" ht="14.25" hidden="false" customHeight="false" outlineLevel="3" collapsed="false">
      <c r="A23" s="19" t="s">
        <v>31</v>
      </c>
      <c r="B23" s="20" t="n">
        <v>175</v>
      </c>
      <c r="C23" s="21" t="n">
        <v>29.8</v>
      </c>
      <c r="D23" s="20" t="n">
        <v>200</v>
      </c>
      <c r="E23" s="20" t="n">
        <f aca="false">175*6</f>
        <v>1050</v>
      </c>
      <c r="F23" s="21" t="n">
        <f aca="false">E23-D23</f>
        <v>850</v>
      </c>
      <c r="G23" s="22" t="n">
        <f aca="false">SUM(E23-D23)/D23</f>
        <v>4.25</v>
      </c>
      <c r="H23" s="1" t="s">
        <v>32</v>
      </c>
    </row>
    <row r="24" customFormat="false" ht="14.25" hidden="false" customHeight="false" outlineLevel="3" collapsed="false">
      <c r="A24" s="19" t="s">
        <v>33</v>
      </c>
      <c r="B24" s="20" t="n">
        <v>0</v>
      </c>
      <c r="C24" s="21" t="n">
        <v>785.42</v>
      </c>
      <c r="D24" s="20" t="n">
        <v>0</v>
      </c>
      <c r="E24" s="20" t="n">
        <v>0</v>
      </c>
      <c r="F24" s="21" t="n">
        <f aca="false">E24-D24</f>
        <v>0</v>
      </c>
      <c r="G24" s="22" t="n">
        <v>0</v>
      </c>
    </row>
    <row r="25" customFormat="false" ht="14.25" hidden="false" customHeight="false" outlineLevel="3" collapsed="false">
      <c r="A25" s="19" t="s">
        <v>34</v>
      </c>
      <c r="B25" s="20" t="n">
        <v>0</v>
      </c>
      <c r="C25" s="21" t="n">
        <v>0</v>
      </c>
      <c r="D25" s="20" t="n">
        <v>0</v>
      </c>
      <c r="E25" s="20"/>
      <c r="F25" s="21" t="n">
        <f aca="false">E25-D25</f>
        <v>0</v>
      </c>
      <c r="G25" s="22" t="n">
        <v>0</v>
      </c>
    </row>
    <row r="26" customFormat="false" ht="14.25" hidden="false" customHeight="false" outlineLevel="3" collapsed="false">
      <c r="A26" s="19" t="s">
        <v>35</v>
      </c>
      <c r="B26" s="20" t="n">
        <v>4000</v>
      </c>
      <c r="C26" s="21" t="n">
        <v>3979</v>
      </c>
      <c r="D26" s="20" t="n">
        <v>4000</v>
      </c>
      <c r="E26" s="20" t="n">
        <v>4000</v>
      </c>
      <c r="F26" s="21" t="n">
        <f aca="false">E26-D26</f>
        <v>0</v>
      </c>
      <c r="G26" s="22" t="n">
        <f aca="false">SUM(E26-D26)/D26</f>
        <v>0</v>
      </c>
    </row>
    <row r="27" customFormat="false" ht="14.25" hidden="false" customHeight="false" outlineLevel="3" collapsed="false">
      <c r="A27" s="19" t="s">
        <v>36</v>
      </c>
      <c r="B27" s="20" t="n">
        <v>5000</v>
      </c>
      <c r="C27" s="21" t="n">
        <v>6447.5</v>
      </c>
      <c r="D27" s="20" t="n">
        <v>7500</v>
      </c>
      <c r="E27" s="20" t="n">
        <v>30000</v>
      </c>
      <c r="F27" s="21" t="n">
        <f aca="false">E27-D27</f>
        <v>22500</v>
      </c>
      <c r="G27" s="22" t="n">
        <f aca="false">SUM(E27-D27)/D27</f>
        <v>3</v>
      </c>
      <c r="I27" s="23" t="n">
        <f aca="false">F27/D330</f>
        <v>0.0111005425713831</v>
      </c>
    </row>
    <row r="28" customFormat="false" ht="14.25" hidden="false" customHeight="false" outlineLevel="3" collapsed="false">
      <c r="A28" s="19" t="s">
        <v>37</v>
      </c>
      <c r="B28" s="20" t="n">
        <v>4000</v>
      </c>
      <c r="C28" s="21" t="n">
        <v>3172</v>
      </c>
      <c r="D28" s="20" t="n">
        <v>4000</v>
      </c>
      <c r="E28" s="20" t="n">
        <v>4000</v>
      </c>
      <c r="F28" s="21" t="n">
        <f aca="false">E28-D28</f>
        <v>0</v>
      </c>
      <c r="G28" s="22" t="n">
        <f aca="false">SUM(E28-D28)/D28</f>
        <v>0</v>
      </c>
    </row>
    <row r="29" customFormat="false" ht="14.25" hidden="false" customHeight="false" outlineLevel="3" collapsed="false">
      <c r="A29" s="19" t="s">
        <v>38</v>
      </c>
      <c r="B29" s="20" t="n">
        <v>3500</v>
      </c>
      <c r="C29" s="21" t="n">
        <v>3549</v>
      </c>
      <c r="D29" s="20" t="n">
        <v>3700</v>
      </c>
      <c r="E29" s="20" t="n">
        <v>3734</v>
      </c>
      <c r="F29" s="21" t="n">
        <f aca="false">E29-D29</f>
        <v>34</v>
      </c>
      <c r="G29" s="22" t="n">
        <f aca="false">SUM(E29-D29)/D29</f>
        <v>0.00918918918918919</v>
      </c>
    </row>
    <row r="30" customFormat="false" ht="14.25" hidden="false" customHeight="false" outlineLevel="3" collapsed="false">
      <c r="A30" s="19" t="s">
        <v>39</v>
      </c>
      <c r="B30" s="20" t="n">
        <v>20573</v>
      </c>
      <c r="C30" s="21" t="n">
        <v>19142</v>
      </c>
      <c r="D30" s="20" t="n">
        <v>22630.3</v>
      </c>
      <c r="E30" s="20" t="n">
        <v>20270</v>
      </c>
      <c r="F30" s="21" t="n">
        <f aca="false">E30-D30</f>
        <v>-2360.3</v>
      </c>
      <c r="G30" s="22" t="n">
        <f aca="false">SUM(E30-D30)/D30</f>
        <v>-0.104298219643575</v>
      </c>
    </row>
    <row r="31" customFormat="false" ht="14.25" hidden="false" customHeight="false" outlineLevel="3" collapsed="false">
      <c r="A31" s="19" t="s">
        <v>40</v>
      </c>
      <c r="B31" s="20" t="n">
        <v>1800</v>
      </c>
      <c r="C31" s="21" t="n">
        <v>1805</v>
      </c>
      <c r="D31" s="20" t="n">
        <v>1900</v>
      </c>
      <c r="E31" s="20" t="n">
        <f aca="false">1814*1.29</f>
        <v>2340.06</v>
      </c>
      <c r="F31" s="21" t="n">
        <f aca="false">E31-D31</f>
        <v>440.06</v>
      </c>
      <c r="G31" s="22" t="n">
        <f aca="false">SUM(E31-D31)/D31</f>
        <v>0.231610526315789</v>
      </c>
    </row>
    <row r="32" customFormat="false" ht="14.25" hidden="false" customHeight="false" outlineLevel="3" collapsed="false">
      <c r="A32" s="19" t="s">
        <v>41</v>
      </c>
      <c r="B32" s="20" t="n">
        <v>2366</v>
      </c>
      <c r="C32" s="21" t="n">
        <v>2366.07</v>
      </c>
      <c r="D32" s="20" t="n">
        <v>2455.02</v>
      </c>
      <c r="E32" s="20" t="n">
        <v>2521.31</v>
      </c>
      <c r="F32" s="21" t="n">
        <f aca="false">E32-D32</f>
        <v>66.29</v>
      </c>
      <c r="G32" s="22" t="n">
        <f aca="false">SUM(E32-D32)/D32</f>
        <v>0.0270018166858111</v>
      </c>
    </row>
    <row r="33" customFormat="false" ht="14.25" hidden="false" customHeight="false" outlineLevel="3" collapsed="false">
      <c r="A33" s="19" t="s">
        <v>42</v>
      </c>
      <c r="B33" s="20" t="n">
        <v>500</v>
      </c>
      <c r="C33" s="21" t="n">
        <v>212.36</v>
      </c>
      <c r="D33" s="20" t="n">
        <v>500</v>
      </c>
      <c r="E33" s="20" t="n">
        <v>500</v>
      </c>
      <c r="F33" s="21" t="n">
        <f aca="false">E33-D33</f>
        <v>0</v>
      </c>
      <c r="G33" s="22" t="n">
        <f aca="false">SUM(E33-D33)/D33</f>
        <v>0</v>
      </c>
    </row>
    <row r="34" customFormat="false" ht="14.25" hidden="false" customHeight="false" outlineLevel="3" collapsed="false">
      <c r="A34" s="19" t="s">
        <v>43</v>
      </c>
      <c r="B34" s="20" t="n">
        <v>2000</v>
      </c>
      <c r="C34" s="21" t="n">
        <v>2599.12</v>
      </c>
      <c r="D34" s="20" t="n">
        <v>2000</v>
      </c>
      <c r="E34" s="20" t="n">
        <v>3000</v>
      </c>
      <c r="F34" s="21" t="n">
        <f aca="false">E34-D34</f>
        <v>1000</v>
      </c>
      <c r="G34" s="22" t="n">
        <f aca="false">SUM(E34-D34)/D34</f>
        <v>0.5</v>
      </c>
    </row>
    <row r="35" customFormat="false" ht="14.25" hidden="false" customHeight="false" outlineLevel="3" collapsed="false">
      <c r="A35" s="19" t="s">
        <v>44</v>
      </c>
      <c r="B35" s="20" t="n">
        <v>250</v>
      </c>
      <c r="C35" s="21" t="n">
        <v>227.11</v>
      </c>
      <c r="D35" s="20" t="n">
        <v>300</v>
      </c>
      <c r="E35" s="20" t="n">
        <v>300</v>
      </c>
      <c r="F35" s="21" t="n">
        <f aca="false">E35-D35</f>
        <v>0</v>
      </c>
      <c r="G35" s="22" t="n">
        <f aca="false">SUM(E35-D35)/D35</f>
        <v>0</v>
      </c>
    </row>
    <row r="36" customFormat="false" ht="14.25" hidden="false" customHeight="false" outlineLevel="3" collapsed="false">
      <c r="A36" s="19" t="s">
        <v>45</v>
      </c>
      <c r="B36" s="20" t="n">
        <v>2500</v>
      </c>
      <c r="C36" s="21" t="n">
        <v>2358.5</v>
      </c>
      <c r="D36" s="20" t="n">
        <v>3000</v>
      </c>
      <c r="E36" s="20" t="n">
        <v>3000</v>
      </c>
      <c r="F36" s="21" t="n">
        <f aca="false">E36-D36</f>
        <v>0</v>
      </c>
      <c r="G36" s="22" t="n">
        <f aca="false">SUM(E36-D36)/D36</f>
        <v>0</v>
      </c>
    </row>
    <row r="37" customFormat="false" ht="14.25" hidden="false" customHeight="false" outlineLevel="3" collapsed="false">
      <c r="A37" s="19" t="s">
        <v>46</v>
      </c>
      <c r="B37" s="20" t="n">
        <v>7000</v>
      </c>
      <c r="C37" s="21" t="n">
        <v>10319.37</v>
      </c>
      <c r="D37" s="20" t="n">
        <v>5000</v>
      </c>
      <c r="E37" s="20" t="n">
        <v>3000</v>
      </c>
      <c r="F37" s="21" t="n">
        <f aca="false">E37-D37</f>
        <v>-2000</v>
      </c>
      <c r="G37" s="22" t="n">
        <f aca="false">SUM(E37-D37)/D37</f>
        <v>-0.4</v>
      </c>
    </row>
    <row r="38" s="28" customFormat="true" ht="14.25" hidden="false" customHeight="false" outlineLevel="2" collapsed="false">
      <c r="A38" s="25" t="s">
        <v>47</v>
      </c>
      <c r="B38" s="26" t="n">
        <f aca="false">SUM(B4:B37)</f>
        <v>111071.999936</v>
      </c>
      <c r="C38" s="26" t="n">
        <f aca="false">SUM(C4:C37)</f>
        <v>134864.49</v>
      </c>
      <c r="D38" s="26" t="n">
        <f aca="false">SUM(D4:D37)</f>
        <v>100552.96586</v>
      </c>
      <c r="E38" s="26" t="n">
        <f aca="false">SUM(E4:E37)</f>
        <v>217240.69</v>
      </c>
      <c r="F38" s="26" t="n">
        <f aca="false">SUM(F4:F37)</f>
        <v>115215.72414</v>
      </c>
      <c r="G38" s="27" t="n">
        <f aca="false">SUM(E38-D38)/D38</f>
        <v>1.16046029216547</v>
      </c>
      <c r="J38" s="29"/>
      <c r="K38" s="29"/>
    </row>
    <row r="39" s="28" customFormat="true" ht="14.25" hidden="false" customHeight="false" outlineLevel="2" collapsed="false">
      <c r="A39" s="30"/>
      <c r="B39" s="31"/>
      <c r="C39" s="32"/>
      <c r="D39" s="31"/>
      <c r="E39" s="31"/>
      <c r="F39" s="33"/>
      <c r="G39" s="34"/>
      <c r="J39" s="29"/>
      <c r="K39" s="29"/>
    </row>
    <row r="40" customFormat="false" ht="14.25" hidden="false" customHeight="false" outlineLevel="2" collapsed="false">
      <c r="A40" s="15" t="s">
        <v>48</v>
      </c>
      <c r="B40" s="35"/>
      <c r="C40" s="36"/>
      <c r="D40" s="35"/>
      <c r="E40" s="35"/>
      <c r="F40" s="37"/>
      <c r="G40" s="18"/>
    </row>
    <row r="41" customFormat="false" ht="14.25" hidden="false" customHeight="false" outlineLevel="4" collapsed="false">
      <c r="A41" s="19" t="s">
        <v>49</v>
      </c>
      <c r="B41" s="20" t="n">
        <v>94396</v>
      </c>
      <c r="C41" s="21" t="n">
        <v>106099.28</v>
      </c>
      <c r="D41" s="20" t="n">
        <v>116350.688</v>
      </c>
      <c r="E41" s="20" t="n">
        <f aca="false">'Salaries 3%'!H19</f>
        <v>129726.6048</v>
      </c>
      <c r="F41" s="21" t="n">
        <f aca="false">E41-D41</f>
        <v>13375.9168</v>
      </c>
      <c r="G41" s="22" t="n">
        <f aca="false">SUM(E41-D41)/D41</f>
        <v>0.114962077405163</v>
      </c>
    </row>
    <row r="42" customFormat="false" ht="14.25" hidden="false" customHeight="false" outlineLevel="4" collapsed="false">
      <c r="A42" s="24" t="s">
        <v>50</v>
      </c>
      <c r="B42" s="20" t="n">
        <v>2912</v>
      </c>
      <c r="C42" s="21" t="n">
        <v>1649.24</v>
      </c>
      <c r="D42" s="20" t="n">
        <v>0</v>
      </c>
      <c r="E42" s="20" t="n">
        <f aca="false">'Salaries 3%'!H28</f>
        <v>0</v>
      </c>
      <c r="F42" s="21" t="n">
        <f aca="false">E42-D42</f>
        <v>0</v>
      </c>
      <c r="G42" s="22" t="n">
        <v>0</v>
      </c>
    </row>
    <row r="43" customFormat="false" ht="14.25" hidden="false" customHeight="false" outlineLevel="4" collapsed="false">
      <c r="A43" s="38" t="s">
        <v>51</v>
      </c>
      <c r="B43" s="20" t="n">
        <v>9389</v>
      </c>
      <c r="C43" s="21" t="n">
        <v>9677.38</v>
      </c>
      <c r="D43" s="20" t="n">
        <v>13668.99046288</v>
      </c>
      <c r="E43" s="20" t="n">
        <f aca="false">'Salaries 3%'!I19</f>
        <v>9924.0852672</v>
      </c>
      <c r="F43" s="21" t="n">
        <f aca="false">E43-D43</f>
        <v>-3744.90519568</v>
      </c>
      <c r="G43" s="22" t="n">
        <f aca="false">SUM(E43-D43)/D43</f>
        <v>-0.273970869015514</v>
      </c>
    </row>
    <row r="44" customFormat="false" ht="14.25" hidden="false" customHeight="false" outlineLevel="4" collapsed="false">
      <c r="A44" s="38" t="s">
        <v>52</v>
      </c>
      <c r="B44" s="20" t="n">
        <v>175</v>
      </c>
      <c r="C44" s="21" t="n">
        <v>87.56</v>
      </c>
      <c r="D44" s="20" t="n">
        <v>168.1880704</v>
      </c>
      <c r="E44" s="20" t="n">
        <f aca="false">'Salaries 3%'!L19</f>
        <v>21.595392</v>
      </c>
      <c r="F44" s="21" t="n">
        <f aca="false">E44-D44</f>
        <v>-146.5926784</v>
      </c>
      <c r="G44" s="22" t="n">
        <f aca="false">SUM(E44-D44)/D44</f>
        <v>-0.871599739811273</v>
      </c>
    </row>
    <row r="45" customFormat="false" ht="14.25" hidden="false" customHeight="false" outlineLevel="4" collapsed="false">
      <c r="A45" s="38" t="s">
        <v>53</v>
      </c>
      <c r="B45" s="39" t="n">
        <v>5912</v>
      </c>
      <c r="C45" s="21" t="n">
        <v>7610.64</v>
      </c>
      <c r="D45" s="39" t="n">
        <v>8171.52488</v>
      </c>
      <c r="E45" s="39" t="n">
        <f aca="false">'Salaries 3%'!K19</f>
        <v>8713.99776</v>
      </c>
      <c r="F45" s="21" t="n">
        <f aca="false">E45-D45</f>
        <v>542.472879999998</v>
      </c>
      <c r="G45" s="22" t="n">
        <f aca="false">SUM(E45-D45)/D45</f>
        <v>0.0663857588352589</v>
      </c>
    </row>
    <row r="46" customFormat="false" ht="14.25" hidden="false" customHeight="false" outlineLevel="4" collapsed="false">
      <c r="A46" s="38" t="s">
        <v>54</v>
      </c>
      <c r="B46" s="20" t="n">
        <v>816</v>
      </c>
      <c r="C46" s="21" t="n">
        <v>674.97</v>
      </c>
      <c r="D46" s="20" t="n">
        <v>816</v>
      </c>
      <c r="E46" s="20" t="n">
        <f aca="false">'Salaries 3%'!N19</f>
        <v>840</v>
      </c>
      <c r="F46" s="21" t="n">
        <f aca="false">E46-D46</f>
        <v>24</v>
      </c>
      <c r="G46" s="22" t="n">
        <f aca="false">SUM(E46-D46)/D46</f>
        <v>0.0294117647058824</v>
      </c>
    </row>
    <row r="47" customFormat="false" ht="14.25" hidden="false" customHeight="false" outlineLevel="4" collapsed="false">
      <c r="A47" s="38" t="s">
        <v>55</v>
      </c>
      <c r="B47" s="20" t="n">
        <v>29276</v>
      </c>
      <c r="C47" s="21" t="n">
        <v>32796.45</v>
      </c>
      <c r="D47" s="20" t="n">
        <v>34348.44264</v>
      </c>
      <c r="E47" s="20" t="n">
        <f aca="false">'Health Insurance'!G5+'Health Insurance'!H5+'Health Insurance'!G9+'Health Insurance'!H9+'Health Insurance'!G11+'Health Insurance'!H11</f>
        <v>61393.472</v>
      </c>
      <c r="F47" s="21" t="n">
        <f aca="false">E47-D47</f>
        <v>27045.02936</v>
      </c>
      <c r="G47" s="22" t="n">
        <f aca="false">SUM(E47-D47)/D47</f>
        <v>0.7873727971732</v>
      </c>
      <c r="I47" s="23" t="n">
        <f aca="false">(F47+F48)/D330</f>
        <v>0.0143572095680778</v>
      </c>
    </row>
    <row r="48" customFormat="false" ht="14.25" hidden="false" customHeight="false" outlineLevel="4" collapsed="false">
      <c r="A48" s="38" t="s">
        <v>56</v>
      </c>
      <c r="B48" s="20"/>
      <c r="C48" s="21"/>
      <c r="D48" s="20"/>
      <c r="E48" s="20" t="n">
        <f aca="false">'Health Insurance'!G6+'Health Insurance'!G7+'Health Insurance'!H6+'Health Insurance'!H7</f>
        <v>2056</v>
      </c>
      <c r="F48" s="21" t="n">
        <f aca="false">E48-D48</f>
        <v>2056</v>
      </c>
      <c r="G48" s="22" t="s">
        <v>16</v>
      </c>
    </row>
    <row r="49" customFormat="false" ht="14.25" hidden="false" customHeight="false" outlineLevel="4" collapsed="false">
      <c r="A49" s="38" t="s">
        <v>57</v>
      </c>
      <c r="B49" s="20" t="n">
        <v>1504</v>
      </c>
      <c r="C49" s="21" t="n">
        <v>383.82</v>
      </c>
      <c r="D49" s="20" t="n">
        <v>1410.22302128</v>
      </c>
      <c r="E49" s="20" t="n">
        <f aca="false">'Salaries 3%'!P19</f>
        <v>1024.84017792</v>
      </c>
      <c r="F49" s="21" t="n">
        <f aca="false">E49-D49</f>
        <v>-385.38284336</v>
      </c>
      <c r="G49" s="22" t="n">
        <f aca="false">SUM(E49-D49)/D49</f>
        <v>-0.273277940825419</v>
      </c>
    </row>
    <row r="50" customFormat="false" ht="14.25" hidden="false" customHeight="false" outlineLevel="4" collapsed="false">
      <c r="A50" s="38" t="s">
        <v>58</v>
      </c>
      <c r="B50" s="20" t="n">
        <v>0</v>
      </c>
      <c r="C50" s="21" t="n">
        <v>603.86</v>
      </c>
      <c r="D50" s="20"/>
      <c r="E50" s="20" t="n">
        <f aca="false">'Salaries 3%'!J19</f>
        <v>570.79706112</v>
      </c>
      <c r="F50" s="21"/>
      <c r="G50" s="22" t="s">
        <v>16</v>
      </c>
    </row>
    <row r="51" customFormat="false" ht="14.25" hidden="false" customHeight="false" outlineLevel="4" collapsed="false">
      <c r="A51" s="19" t="s">
        <v>59</v>
      </c>
      <c r="B51" s="20" t="n">
        <v>3600</v>
      </c>
      <c r="C51" s="21" t="n">
        <v>3100.3</v>
      </c>
      <c r="D51" s="20" t="n">
        <v>4000</v>
      </c>
      <c r="E51" s="20" t="n">
        <v>4000</v>
      </c>
      <c r="F51" s="21" t="n">
        <f aca="false">E51-D51</f>
        <v>0</v>
      </c>
      <c r="G51" s="22" t="n">
        <f aca="false">SUM(E51-D51)/D51</f>
        <v>0</v>
      </c>
    </row>
    <row r="52" customFormat="false" ht="14.25" hidden="false" customHeight="false" outlineLevel="4" collapsed="false">
      <c r="A52" s="24" t="s">
        <v>60</v>
      </c>
      <c r="B52" s="20" t="n">
        <v>1000</v>
      </c>
      <c r="C52" s="21" t="n">
        <v>0</v>
      </c>
      <c r="D52" s="20" t="n">
        <v>1000</v>
      </c>
      <c r="E52" s="20" t="n">
        <v>1000</v>
      </c>
      <c r="F52" s="21" t="n">
        <f aca="false">E52-D52</f>
        <v>0</v>
      </c>
      <c r="G52" s="22" t="n">
        <f aca="false">SUM(E52-D52)/D52</f>
        <v>0</v>
      </c>
    </row>
    <row r="53" customFormat="false" ht="14.25" hidden="false" customHeight="false" outlineLevel="4" collapsed="false">
      <c r="A53" s="24" t="s">
        <v>61</v>
      </c>
      <c r="B53" s="20" t="n">
        <v>10000</v>
      </c>
      <c r="C53" s="21" t="n">
        <v>0</v>
      </c>
      <c r="D53" s="20" t="n">
        <v>13000</v>
      </c>
      <c r="E53" s="20" t="n">
        <v>4000</v>
      </c>
      <c r="F53" s="21" t="n">
        <f aca="false">E53-D53</f>
        <v>-9000</v>
      </c>
      <c r="G53" s="22" t="n">
        <f aca="false">SUM(E53-D53)/D53</f>
        <v>-0.692307692307692</v>
      </c>
      <c r="H53" s="1" t="s">
        <v>32</v>
      </c>
    </row>
    <row r="54" customFormat="false" ht="14.25" hidden="false" customHeight="false" outlineLevel="4" collapsed="false">
      <c r="A54" s="19" t="s">
        <v>62</v>
      </c>
      <c r="B54" s="20" t="n">
        <v>5000</v>
      </c>
      <c r="C54" s="21" t="n">
        <v>6142.97</v>
      </c>
      <c r="D54" s="20" t="n">
        <v>5500</v>
      </c>
      <c r="E54" s="20" t="n">
        <v>6500</v>
      </c>
      <c r="F54" s="21" t="n">
        <f aca="false">E54-D54</f>
        <v>1000</v>
      </c>
      <c r="G54" s="22" t="n">
        <f aca="false">SUM(E54-D54)/D54</f>
        <v>0.181818181818182</v>
      </c>
    </row>
    <row r="55" customFormat="false" ht="14.25" hidden="false" customHeight="false" outlineLevel="4" collapsed="false">
      <c r="A55" s="19" t="s">
        <v>63</v>
      </c>
      <c r="B55" s="20" t="n">
        <v>3500</v>
      </c>
      <c r="C55" s="21" t="n">
        <v>3172.05</v>
      </c>
      <c r="D55" s="20" t="n">
        <v>4000</v>
      </c>
      <c r="E55" s="20" t="n">
        <v>4000</v>
      </c>
      <c r="F55" s="21" t="n">
        <f aca="false">E55-D55</f>
        <v>0</v>
      </c>
      <c r="G55" s="22" t="n">
        <f aca="false">SUM(E55-D55)/D55</f>
        <v>0</v>
      </c>
    </row>
    <row r="56" customFormat="false" ht="14.25" hidden="false" customHeight="false" outlineLevel="4" collapsed="false">
      <c r="A56" s="19" t="s">
        <v>64</v>
      </c>
      <c r="B56" s="20" t="n">
        <v>11000</v>
      </c>
      <c r="C56" s="21" t="n">
        <v>16000</v>
      </c>
      <c r="D56" s="20" t="n">
        <v>15000</v>
      </c>
      <c r="E56" s="20" t="n">
        <v>30000</v>
      </c>
      <c r="F56" s="21" t="n">
        <f aca="false">E56-D56</f>
        <v>15000</v>
      </c>
      <c r="G56" s="22" t="n">
        <f aca="false">SUM(E56-D56)/D56</f>
        <v>1</v>
      </c>
    </row>
    <row r="57" customFormat="false" ht="14.25" hidden="false" customHeight="false" outlineLevel="4" collapsed="false">
      <c r="A57" s="19" t="s">
        <v>65</v>
      </c>
      <c r="B57" s="20" t="n">
        <v>200</v>
      </c>
      <c r="C57" s="21" t="n">
        <v>206.26</v>
      </c>
      <c r="D57" s="20" t="n">
        <v>200</v>
      </c>
      <c r="E57" s="20" t="n">
        <v>250</v>
      </c>
      <c r="F57" s="21" t="n">
        <f aca="false">E57-D57</f>
        <v>50</v>
      </c>
      <c r="G57" s="22" t="n">
        <f aca="false">SUM(E57-D57)/D57</f>
        <v>0.25</v>
      </c>
    </row>
    <row r="58" customFormat="false" ht="14.25" hidden="false" customHeight="false" outlineLevel="4" collapsed="false">
      <c r="A58" s="19" t="s">
        <v>66</v>
      </c>
      <c r="B58" s="20" t="n">
        <v>2000</v>
      </c>
      <c r="C58" s="21" t="n">
        <v>381.57</v>
      </c>
      <c r="D58" s="20" t="n">
        <v>3000</v>
      </c>
      <c r="E58" s="20" t="n">
        <v>1500</v>
      </c>
      <c r="F58" s="21" t="n">
        <f aca="false">E58-D58</f>
        <v>-1500</v>
      </c>
      <c r="G58" s="22" t="n">
        <f aca="false">SUM(E58-D58)/D58</f>
        <v>-0.5</v>
      </c>
    </row>
    <row r="59" customFormat="false" ht="14.25" hidden="false" customHeight="false" outlineLevel="4" collapsed="false">
      <c r="A59" s="19" t="s">
        <v>67</v>
      </c>
      <c r="B59" s="20" t="n">
        <v>1500</v>
      </c>
      <c r="C59" s="21" t="n">
        <v>2018.38</v>
      </c>
      <c r="D59" s="20" t="n">
        <v>2000</v>
      </c>
      <c r="E59" s="20" t="n">
        <v>2962.32</v>
      </c>
      <c r="F59" s="21" t="n">
        <f aca="false">E59-D59</f>
        <v>962.32</v>
      </c>
      <c r="G59" s="22" t="n">
        <f aca="false">SUM(E59-D59)/D59</f>
        <v>0.48116</v>
      </c>
    </row>
    <row r="60" customFormat="false" ht="14.25" hidden="false" customHeight="false" outlineLevel="4" collapsed="false">
      <c r="A60" s="19" t="s">
        <v>68</v>
      </c>
      <c r="B60" s="20" t="n">
        <v>40000</v>
      </c>
      <c r="C60" s="21" t="n">
        <v>24646.89</v>
      </c>
      <c r="D60" s="20" t="n">
        <v>20000</v>
      </c>
      <c r="E60" s="20" t="n">
        <v>20000</v>
      </c>
      <c r="F60" s="21" t="n">
        <f aca="false">E60-D60</f>
        <v>0</v>
      </c>
      <c r="G60" s="22" t="n">
        <f aca="false">SUM(E60-D60)/D60</f>
        <v>0</v>
      </c>
    </row>
    <row r="61" customFormat="false" ht="14.25" hidden="false" customHeight="false" outlineLevel="4" collapsed="false">
      <c r="A61" s="19" t="s">
        <v>69</v>
      </c>
      <c r="B61" s="20" t="n">
        <v>0</v>
      </c>
      <c r="C61" s="21" t="n">
        <v>0</v>
      </c>
      <c r="D61" s="20" t="n">
        <v>10000</v>
      </c>
      <c r="E61" s="20" t="n">
        <f aca="false">2900</f>
        <v>2900</v>
      </c>
      <c r="F61" s="21" t="n">
        <f aca="false">E61-D61</f>
        <v>-7100</v>
      </c>
      <c r="G61" s="22" t="n">
        <f aca="false">SUM(E61-D61)/D61</f>
        <v>-0.71</v>
      </c>
    </row>
    <row r="62" customFormat="false" ht="14.25" hidden="false" customHeight="false" outlineLevel="4" collapsed="false">
      <c r="A62" s="19" t="s">
        <v>70</v>
      </c>
      <c r="B62" s="20" t="n">
        <v>10500</v>
      </c>
      <c r="C62" s="21" t="n">
        <v>0</v>
      </c>
      <c r="D62" s="20" t="n">
        <v>0</v>
      </c>
      <c r="E62" s="20" t="n">
        <v>5986</v>
      </c>
      <c r="F62" s="21" t="n">
        <f aca="false">E62-D62</f>
        <v>5986</v>
      </c>
      <c r="G62" s="22" t="n">
        <v>0</v>
      </c>
      <c r="H62" s="1" t="s">
        <v>32</v>
      </c>
      <c r="I62" s="1" t="s">
        <v>71</v>
      </c>
    </row>
    <row r="63" s="28" customFormat="true" ht="14.25" hidden="false" customHeight="false" outlineLevel="3" collapsed="false">
      <c r="A63" s="25" t="s">
        <v>72</v>
      </c>
      <c r="B63" s="40" t="n">
        <f aca="false">SUM(B41:B62)</f>
        <v>232680</v>
      </c>
      <c r="C63" s="40" t="n">
        <f aca="false">SUM(C41:C62)</f>
        <v>215251.62</v>
      </c>
      <c r="D63" s="40" t="n">
        <f aca="false">SUM(D41:D62)</f>
        <v>252634.05707456</v>
      </c>
      <c r="E63" s="40" t="n">
        <f aca="false">SUM(E41:E62)</f>
        <v>297369.71245824</v>
      </c>
      <c r="F63" s="40" t="n">
        <f aca="false">SUM(F41:F62)</f>
        <v>44164.85832256</v>
      </c>
      <c r="G63" s="41" t="n">
        <f aca="false">SUM(E63-D63)/D63</f>
        <v>0.177076898901549</v>
      </c>
      <c r="I63" s="42" t="n">
        <f aca="false">(F63+F38)/D330</f>
        <v>0.078631597363444</v>
      </c>
      <c r="J63" s="29"/>
      <c r="K63" s="29"/>
    </row>
    <row r="64" s="28" customFormat="true" ht="14.25" hidden="false" customHeight="false" outlineLevel="3" collapsed="false">
      <c r="A64" s="43"/>
      <c r="B64" s="44"/>
      <c r="C64" s="44"/>
      <c r="D64" s="44"/>
      <c r="E64" s="44"/>
      <c r="F64" s="44"/>
      <c r="G64" s="22"/>
      <c r="J64" s="29"/>
      <c r="K64" s="29"/>
    </row>
    <row r="65" customFormat="false" ht="14.25" hidden="false" customHeight="false" outlineLevel="2" collapsed="false">
      <c r="A65" s="15" t="s">
        <v>73</v>
      </c>
      <c r="B65" s="35"/>
      <c r="C65" s="36"/>
      <c r="D65" s="35"/>
      <c r="E65" s="35"/>
      <c r="F65" s="37"/>
      <c r="G65" s="18"/>
    </row>
    <row r="66" customFormat="false" ht="14.25" hidden="false" customHeight="false" outlineLevel="4" collapsed="false">
      <c r="A66" s="19" t="s">
        <v>74</v>
      </c>
      <c r="B66" s="20" t="n">
        <v>18750</v>
      </c>
      <c r="C66" s="21" t="n">
        <v>26521.4</v>
      </c>
      <c r="D66" s="20" t="n">
        <v>52610.8752</v>
      </c>
      <c r="E66" s="20" t="n">
        <f aca="false">'Salaries 3%'!H25</f>
        <v>46420.452</v>
      </c>
      <c r="F66" s="21" t="n">
        <f aca="false">E66-D66</f>
        <v>-6190.42319999999</v>
      </c>
      <c r="G66" s="22" t="n">
        <f aca="false">SUM(E66-D66)/D66</f>
        <v>-0.117664326557335</v>
      </c>
    </row>
    <row r="67" customFormat="false" ht="14.25" hidden="false" customHeight="false" outlineLevel="4" collapsed="false">
      <c r="A67" s="38" t="s">
        <v>75</v>
      </c>
      <c r="B67" s="20" t="n">
        <v>0</v>
      </c>
      <c r="C67" s="21" t="n">
        <v>0</v>
      </c>
      <c r="D67" s="20" t="n">
        <v>0</v>
      </c>
      <c r="E67" s="20" t="n">
        <f aca="false">'Salaries 3%'!I25</f>
        <v>3551.164578</v>
      </c>
      <c r="F67" s="21" t="n">
        <f aca="false">E67-D67</f>
        <v>3551.164578</v>
      </c>
      <c r="G67" s="22" t="s">
        <v>16</v>
      </c>
    </row>
    <row r="68" customFormat="false" ht="14.25" hidden="false" customHeight="false" outlineLevel="4" collapsed="false">
      <c r="A68" s="38" t="s">
        <v>76</v>
      </c>
      <c r="B68" s="20" t="n">
        <v>0</v>
      </c>
      <c r="C68" s="21" t="n">
        <v>0</v>
      </c>
      <c r="D68" s="20" t="n">
        <v>0</v>
      </c>
      <c r="E68" s="20" t="n">
        <f aca="false">'Salaries 3%'!P25</f>
        <v>366.7215708</v>
      </c>
      <c r="F68" s="21" t="n">
        <f aca="false">E68-D68</f>
        <v>366.7215708</v>
      </c>
      <c r="G68" s="22" t="s">
        <v>16</v>
      </c>
    </row>
    <row r="69" customFormat="false" ht="14.25" hidden="false" customHeight="false" outlineLevel="4" collapsed="false">
      <c r="A69" s="38" t="s">
        <v>77</v>
      </c>
      <c r="B69" s="20" t="n">
        <v>0</v>
      </c>
      <c r="C69" s="21" t="n">
        <v>0</v>
      </c>
      <c r="D69" s="20"/>
      <c r="E69" s="20" t="n">
        <f aca="false">'Salaries 3%'!J25</f>
        <v>204.2499888</v>
      </c>
      <c r="F69" s="21"/>
      <c r="G69" s="22" t="s">
        <v>16</v>
      </c>
    </row>
    <row r="70" customFormat="false" ht="14.25" hidden="false" customHeight="false" outlineLevel="4" collapsed="false">
      <c r="A70" s="24" t="s">
        <v>78</v>
      </c>
      <c r="B70" s="20" t="n">
        <v>0</v>
      </c>
      <c r="C70" s="21" t="n">
        <v>0</v>
      </c>
      <c r="D70" s="20" t="n">
        <v>0</v>
      </c>
      <c r="E70" s="20" t="n">
        <v>4525</v>
      </c>
      <c r="F70" s="21" t="n">
        <f aca="false">E70-D70</f>
        <v>4525</v>
      </c>
      <c r="G70" s="22" t="n">
        <v>1</v>
      </c>
      <c r="H70" s="1" t="s">
        <v>32</v>
      </c>
    </row>
    <row r="71" customFormat="false" ht="14.25" hidden="false" customHeight="false" outlineLevel="4" collapsed="false">
      <c r="A71" s="24" t="s">
        <v>79</v>
      </c>
      <c r="B71" s="20" t="n">
        <v>1000</v>
      </c>
      <c r="C71" s="21" t="n">
        <v>0</v>
      </c>
      <c r="D71" s="20" t="n">
        <v>1000</v>
      </c>
      <c r="E71" s="20" t="n">
        <v>1500</v>
      </c>
      <c r="F71" s="21" t="n">
        <f aca="false">E71-D71</f>
        <v>500</v>
      </c>
      <c r="G71" s="22" t="n">
        <f aca="false">SUM(E71-D71)/D71</f>
        <v>0.5</v>
      </c>
    </row>
    <row r="72" customFormat="false" ht="14.25" hidden="false" customHeight="false" outlineLevel="4" collapsed="false">
      <c r="A72" s="19" t="s">
        <v>63</v>
      </c>
      <c r="B72" s="20" t="n">
        <v>0</v>
      </c>
      <c r="C72" s="21"/>
      <c r="D72" s="20" t="n">
        <v>0</v>
      </c>
      <c r="E72" s="20" t="n">
        <v>150</v>
      </c>
      <c r="F72" s="21" t="n">
        <f aca="false">E72-D72</f>
        <v>150</v>
      </c>
      <c r="G72" s="22" t="s">
        <v>16</v>
      </c>
    </row>
    <row r="73" customFormat="false" ht="14.25" hidden="false" customHeight="false" outlineLevel="4" collapsed="false">
      <c r="A73" s="19" t="s">
        <v>80</v>
      </c>
      <c r="B73" s="20" t="n">
        <v>1000</v>
      </c>
      <c r="C73" s="21" t="n">
        <v>1124.66</v>
      </c>
      <c r="D73" s="20" t="n">
        <v>1000</v>
      </c>
      <c r="E73" s="20" t="n">
        <v>1000</v>
      </c>
      <c r="F73" s="21" t="n">
        <f aca="false">E73-D73</f>
        <v>0</v>
      </c>
      <c r="G73" s="22" t="n">
        <f aca="false">SUM(E73-D73)/D73</f>
        <v>0</v>
      </c>
    </row>
    <row r="74" customFormat="false" ht="14.25" hidden="false" customHeight="false" outlineLevel="4" collapsed="false">
      <c r="A74" s="19" t="s">
        <v>81</v>
      </c>
      <c r="B74" s="20" t="n">
        <v>0</v>
      </c>
      <c r="C74" s="21" t="n">
        <v>0</v>
      </c>
      <c r="D74" s="20" t="n">
        <v>0</v>
      </c>
      <c r="E74" s="20" t="n">
        <v>500</v>
      </c>
      <c r="F74" s="21" t="n">
        <f aca="false">E74-D74</f>
        <v>500</v>
      </c>
      <c r="G74" s="22" t="s">
        <v>16</v>
      </c>
    </row>
    <row r="75" customFormat="false" ht="14.25" hidden="false" customHeight="false" outlineLevel="4" collapsed="false">
      <c r="A75" s="19" t="s">
        <v>82</v>
      </c>
      <c r="B75" s="20" t="n">
        <v>26500</v>
      </c>
      <c r="C75" s="21" t="n">
        <v>26500</v>
      </c>
      <c r="D75" s="20" t="n">
        <v>20000</v>
      </c>
      <c r="E75" s="20" t="n">
        <v>0</v>
      </c>
      <c r="F75" s="21" t="n">
        <f aca="false">E75-D75</f>
        <v>-20000</v>
      </c>
      <c r="G75" s="22" t="n">
        <f aca="false">SUM(E75-D75)/D75</f>
        <v>-1</v>
      </c>
      <c r="H75" s="1" t="s">
        <v>32</v>
      </c>
    </row>
    <row r="76" customFormat="false" ht="14.25" hidden="false" customHeight="false" outlineLevel="4" collapsed="false">
      <c r="A76" s="19" t="s">
        <v>83</v>
      </c>
      <c r="B76" s="20" t="n">
        <v>250</v>
      </c>
      <c r="C76" s="21" t="n">
        <v>0</v>
      </c>
      <c r="D76" s="20" t="n">
        <v>2000</v>
      </c>
      <c r="E76" s="20" t="n">
        <v>2000</v>
      </c>
      <c r="F76" s="21" t="n">
        <f aca="false">E76-D76</f>
        <v>0</v>
      </c>
      <c r="G76" s="22" t="n">
        <f aca="false">SUM(E76-D76)/D76</f>
        <v>0</v>
      </c>
    </row>
    <row r="77" customFormat="false" ht="14.25" hidden="false" customHeight="false" outlineLevel="4" collapsed="false">
      <c r="A77" s="19" t="s">
        <v>84</v>
      </c>
      <c r="B77" s="20" t="n">
        <v>0</v>
      </c>
      <c r="C77" s="21" t="n">
        <v>0</v>
      </c>
      <c r="D77" s="20" t="n">
        <v>0</v>
      </c>
      <c r="E77" s="20" t="n">
        <v>0</v>
      </c>
      <c r="F77" s="21" t="n">
        <f aca="false">E77-D77</f>
        <v>0</v>
      </c>
      <c r="G77" s="22" t="n">
        <v>0</v>
      </c>
      <c r="H77" s="1" t="s">
        <v>32</v>
      </c>
    </row>
    <row r="78" customFormat="false" ht="14.25" hidden="false" customHeight="false" outlineLevel="4" collapsed="false">
      <c r="A78" s="45" t="s">
        <v>85</v>
      </c>
      <c r="B78" s="46" t="n">
        <f aca="false">SUM(B66:B77)</f>
        <v>47500</v>
      </c>
      <c r="C78" s="46" t="n">
        <f aca="false">SUM(C66:C77)</f>
        <v>54146.06</v>
      </c>
      <c r="D78" s="46" t="n">
        <f aca="false">SUM(D66:D77)</f>
        <v>76610.8752</v>
      </c>
      <c r="E78" s="46" t="n">
        <f aca="false">SUM(E66:E77)</f>
        <v>60217.5881376</v>
      </c>
      <c r="F78" s="46" t="n">
        <f aca="false">SUM(F66:F77)</f>
        <v>-16597.5370512</v>
      </c>
      <c r="G78" s="22" t="n">
        <f aca="false">SUM(E78-D78)/D78</f>
        <v>-0.213981200705562</v>
      </c>
    </row>
    <row r="79" s="28" customFormat="true" ht="14.25" hidden="false" customHeight="false" outlineLevel="3" collapsed="false">
      <c r="A79" s="47" t="s">
        <v>86</v>
      </c>
      <c r="B79" s="40" t="n">
        <f aca="false">+B78+B63</f>
        <v>280180</v>
      </c>
      <c r="C79" s="40" t="n">
        <f aca="false">+C78+C63</f>
        <v>269397.68</v>
      </c>
      <c r="D79" s="40" t="n">
        <f aca="false">+D78+D63</f>
        <v>329244.93227456</v>
      </c>
      <c r="E79" s="40" t="n">
        <f aca="false">+E78+E63</f>
        <v>357587.30059584</v>
      </c>
      <c r="F79" s="40" t="n">
        <f aca="false">E79-D79</f>
        <v>28342.36832128</v>
      </c>
      <c r="G79" s="41" t="n">
        <f aca="false">SUM(E79-D79)/D79</f>
        <v>0.0860829295852155</v>
      </c>
      <c r="J79" s="29"/>
      <c r="K79" s="29"/>
    </row>
    <row r="80" s="28" customFormat="true" ht="14.25" hidden="false" customHeight="false" outlineLevel="2" collapsed="false">
      <c r="A80" s="30"/>
      <c r="B80" s="48"/>
      <c r="C80" s="49"/>
      <c r="D80" s="48"/>
      <c r="E80" s="48"/>
      <c r="F80" s="50"/>
      <c r="G80" s="34"/>
      <c r="J80" s="29"/>
      <c r="K80" s="29"/>
    </row>
    <row r="81" customFormat="false" ht="14.25" hidden="false" customHeight="false" outlineLevel="2" collapsed="false">
      <c r="A81" s="15" t="s">
        <v>87</v>
      </c>
      <c r="B81" s="35"/>
      <c r="C81" s="36"/>
      <c r="D81" s="35"/>
      <c r="E81" s="35"/>
      <c r="F81" s="37"/>
      <c r="G81" s="18"/>
    </row>
    <row r="82" customFormat="false" ht="14.25" hidden="false" customHeight="false" outlineLevel="3" collapsed="false">
      <c r="A82" s="19" t="s">
        <v>88</v>
      </c>
      <c r="B82" s="20" t="n">
        <v>3500</v>
      </c>
      <c r="C82" s="21" t="n">
        <v>3200.63</v>
      </c>
      <c r="D82" s="20" t="n">
        <v>3500</v>
      </c>
      <c r="E82" s="20" t="n">
        <v>3500</v>
      </c>
      <c r="F82" s="50" t="n">
        <f aca="false">E82-D82</f>
        <v>0</v>
      </c>
      <c r="G82" s="34" t="n">
        <f aca="false">SUM(E82-D82)/D82</f>
        <v>0</v>
      </c>
    </row>
    <row r="83" customFormat="false" ht="14.25" hidden="false" customHeight="false" outlineLevel="3" collapsed="false">
      <c r="A83" s="19" t="s">
        <v>89</v>
      </c>
      <c r="B83" s="20" t="n">
        <v>3000</v>
      </c>
      <c r="C83" s="21" t="n">
        <v>2122.27</v>
      </c>
      <c r="D83" s="20" t="n">
        <v>3000</v>
      </c>
      <c r="E83" s="20" t="n">
        <v>3000</v>
      </c>
      <c r="F83" s="50" t="n">
        <f aca="false">E83-D83</f>
        <v>0</v>
      </c>
      <c r="G83" s="34" t="n">
        <f aca="false">SUM(E83-D83)/D83</f>
        <v>0</v>
      </c>
    </row>
    <row r="84" customFormat="false" ht="14.25" hidden="false" customHeight="false" outlineLevel="3" collapsed="false">
      <c r="A84" s="19" t="s">
        <v>90</v>
      </c>
      <c r="B84" s="20" t="n">
        <v>1080</v>
      </c>
      <c r="C84" s="21" t="n">
        <v>1543</v>
      </c>
      <c r="D84" s="20" t="n">
        <v>1880</v>
      </c>
      <c r="E84" s="20" t="n">
        <v>1880</v>
      </c>
      <c r="F84" s="50" t="n">
        <f aca="false">E84-D84</f>
        <v>0</v>
      </c>
      <c r="G84" s="34" t="n">
        <f aca="false">SUM(E84-D84)/D84</f>
        <v>0</v>
      </c>
    </row>
    <row r="85" customFormat="false" ht="14.25" hidden="false" customHeight="false" outlineLevel="3" collapsed="false">
      <c r="A85" s="19" t="s">
        <v>91</v>
      </c>
      <c r="B85" s="20" t="n">
        <v>3500</v>
      </c>
      <c r="C85" s="21" t="n">
        <v>2100.33</v>
      </c>
      <c r="D85" s="20" t="n">
        <v>0</v>
      </c>
      <c r="E85" s="20" t="n">
        <v>0</v>
      </c>
      <c r="F85" s="50" t="n">
        <f aca="false">E85-D85</f>
        <v>0</v>
      </c>
      <c r="G85" s="34" t="n">
        <v>0</v>
      </c>
    </row>
    <row r="86" customFormat="false" ht="14.25" hidden="false" customHeight="false" outlineLevel="3" collapsed="false">
      <c r="A86" s="19" t="s">
        <v>92</v>
      </c>
      <c r="B86" s="20" t="n">
        <v>2200</v>
      </c>
      <c r="C86" s="21" t="n">
        <v>2063.01</v>
      </c>
      <c r="D86" s="20" t="n">
        <v>2500</v>
      </c>
      <c r="E86" s="20" t="n">
        <v>2500</v>
      </c>
      <c r="F86" s="50" t="n">
        <f aca="false">E86-D86</f>
        <v>0</v>
      </c>
      <c r="G86" s="34" t="n">
        <f aca="false">SUM(E86-D86)/D86</f>
        <v>0</v>
      </c>
    </row>
    <row r="87" customFormat="false" ht="14.25" hidden="false" customHeight="false" outlineLevel="3" collapsed="false">
      <c r="A87" s="19" t="s">
        <v>93</v>
      </c>
      <c r="B87" s="20" t="n">
        <v>1500</v>
      </c>
      <c r="C87" s="21" t="n">
        <v>1464.31</v>
      </c>
      <c r="D87" s="20" t="n">
        <v>1500</v>
      </c>
      <c r="E87" s="20" t="n">
        <v>1500</v>
      </c>
      <c r="F87" s="50" t="n">
        <f aca="false">E87-D87</f>
        <v>0</v>
      </c>
      <c r="G87" s="34" t="n">
        <f aca="false">SUM(E87-D87)/D87</f>
        <v>0</v>
      </c>
    </row>
    <row r="88" s="28" customFormat="true" ht="14.25" hidden="false" customHeight="false" outlineLevel="2" collapsed="false">
      <c r="A88" s="47" t="s">
        <v>94</v>
      </c>
      <c r="B88" s="40" t="n">
        <f aca="false">SUM(B82:B87)</f>
        <v>14780</v>
      </c>
      <c r="C88" s="40" t="n">
        <f aca="false">SUM(C82:C87)</f>
        <v>12493.55</v>
      </c>
      <c r="D88" s="40" t="n">
        <f aca="false">SUM(D82:D87)</f>
        <v>12380</v>
      </c>
      <c r="E88" s="40" t="n">
        <f aca="false">SUM(E82:E87)</f>
        <v>12380</v>
      </c>
      <c r="F88" s="40" t="n">
        <f aca="false">SUM(F82:F87)</f>
        <v>0</v>
      </c>
      <c r="G88" s="41" t="n">
        <f aca="false">SUM(E88-D88)/D88</f>
        <v>0</v>
      </c>
      <c r="J88" s="29"/>
      <c r="K88" s="29"/>
    </row>
    <row r="89" s="28" customFormat="true" ht="14.25" hidden="false" customHeight="false" outlineLevel="2" collapsed="false">
      <c r="A89" s="30"/>
      <c r="B89" s="31"/>
      <c r="C89" s="32"/>
      <c r="D89" s="31"/>
      <c r="E89" s="31"/>
      <c r="F89" s="33"/>
      <c r="G89" s="34"/>
      <c r="J89" s="29"/>
      <c r="K89" s="29"/>
    </row>
    <row r="90" customFormat="false" ht="14.25" hidden="false" customHeight="false" outlineLevel="2" collapsed="false">
      <c r="A90" s="15" t="s">
        <v>95</v>
      </c>
      <c r="B90" s="35"/>
      <c r="C90" s="36"/>
      <c r="D90" s="35"/>
      <c r="E90" s="35"/>
      <c r="F90" s="37"/>
      <c r="G90" s="18"/>
    </row>
    <row r="91" customFormat="false" ht="14.25" hidden="false" customHeight="false" outlineLevel="3" collapsed="false">
      <c r="A91" s="19" t="s">
        <v>96</v>
      </c>
      <c r="B91" s="20" t="n">
        <v>886</v>
      </c>
      <c r="C91" s="21" t="n">
        <v>51.11</v>
      </c>
      <c r="D91" s="20" t="n">
        <v>885.8304</v>
      </c>
      <c r="E91" s="20" t="n">
        <f aca="false">'Salaries 3%'!H39</f>
        <v>912.3946</v>
      </c>
      <c r="F91" s="21" t="n">
        <f aca="false">E91-D91</f>
        <v>26.5642000000001</v>
      </c>
      <c r="G91" s="22" t="n">
        <f aca="false">SUM(E91-D91)/D91</f>
        <v>0.0299879073917537</v>
      </c>
    </row>
    <row r="92" customFormat="false" ht="14.25" hidden="false" customHeight="false" outlineLevel="3" collapsed="false">
      <c r="A92" s="19" t="s">
        <v>97</v>
      </c>
      <c r="B92" s="20" t="n">
        <v>738</v>
      </c>
      <c r="C92" s="21" t="n">
        <v>0</v>
      </c>
      <c r="D92" s="20" t="n">
        <v>738.192</v>
      </c>
      <c r="E92" s="20" t="n">
        <f aca="false">'Salaries 3%'!H41</f>
        <v>760.2842</v>
      </c>
      <c r="F92" s="21" t="n">
        <f aca="false">E92-D92</f>
        <v>22.0922</v>
      </c>
      <c r="G92" s="22" t="n">
        <f aca="false">SUM(E92-D92)/D92</f>
        <v>0.0299274443505213</v>
      </c>
    </row>
    <row r="93" customFormat="false" ht="14.25" hidden="false" customHeight="false" outlineLevel="3" collapsed="false">
      <c r="A93" s="38" t="s">
        <v>98</v>
      </c>
      <c r="B93" s="20" t="n">
        <v>131</v>
      </c>
      <c r="C93" s="21" t="n">
        <v>3.91</v>
      </c>
      <c r="D93" s="20" t="n">
        <v>131.38341216</v>
      </c>
      <c r="E93" s="20" t="n">
        <f aca="false">'Salaries 3%'!I42</f>
        <v>127.9599282</v>
      </c>
      <c r="F93" s="21" t="n">
        <f aca="false">E93-D93</f>
        <v>-3.42348395999997</v>
      </c>
      <c r="G93" s="22" t="n">
        <f aca="false">SUM(E93-D93)/D93</f>
        <v>-0.0260572008575239</v>
      </c>
    </row>
    <row r="94" customFormat="false" ht="14.25" hidden="false" customHeight="false" outlineLevel="3" collapsed="false">
      <c r="A94" s="38" t="s">
        <v>99</v>
      </c>
      <c r="B94" s="20" t="n">
        <v>0</v>
      </c>
      <c r="C94" s="21" t="n">
        <v>0.22</v>
      </c>
      <c r="D94" s="20"/>
      <c r="E94" s="20" t="n">
        <f aca="false">+'Salaries 3%'!J42</f>
        <v>7.35978672</v>
      </c>
      <c r="F94" s="21" t="n">
        <f aca="false">E94-D94</f>
        <v>7.35978672</v>
      </c>
      <c r="G94" s="22" t="s">
        <v>16</v>
      </c>
    </row>
    <row r="95" customFormat="false" ht="14.25" hidden="false" customHeight="false" outlineLevel="3" collapsed="false">
      <c r="A95" s="38" t="s">
        <v>100</v>
      </c>
      <c r="B95" s="20" t="n">
        <v>103</v>
      </c>
      <c r="C95" s="21" t="n">
        <v>121.17</v>
      </c>
      <c r="D95" s="20" t="n">
        <v>64.42939776</v>
      </c>
      <c r="E95" s="20" t="n">
        <f aca="false">'Salaries 3%'!P42</f>
        <v>66.3580281</v>
      </c>
      <c r="F95" s="21" t="n">
        <f aca="false">E95-D95</f>
        <v>1.92863034000001</v>
      </c>
      <c r="G95" s="22" t="n">
        <f aca="false">SUM(E95-D95)/D95</f>
        <v>0.0299340116011044</v>
      </c>
    </row>
    <row r="96" customFormat="false" ht="14.25" hidden="false" customHeight="false" outlineLevel="3" collapsed="false">
      <c r="A96" s="38" t="s">
        <v>101</v>
      </c>
      <c r="B96" s="20" t="n">
        <v>0</v>
      </c>
      <c r="C96" s="21" t="n">
        <v>3.61</v>
      </c>
      <c r="D96" s="20" t="n">
        <v>7.95770976</v>
      </c>
      <c r="E96" s="20" t="n">
        <f aca="false">'Salaries 3%'!L42</f>
        <v>15.0541092</v>
      </c>
      <c r="F96" s="21" t="n">
        <f aca="false">E96-D96</f>
        <v>7.09639944</v>
      </c>
      <c r="G96" s="22" t="n">
        <f aca="false">SUM(E96-D96)/D96</f>
        <v>0.891764044432804</v>
      </c>
    </row>
    <row r="97" customFormat="false" ht="14.25" hidden="false" customHeight="false" outlineLevel="3" collapsed="false">
      <c r="A97" s="24" t="s">
        <v>102</v>
      </c>
      <c r="B97" s="20" t="n">
        <v>0</v>
      </c>
      <c r="C97" s="21"/>
      <c r="D97" s="20" t="n">
        <v>8.2</v>
      </c>
      <c r="E97" s="20" t="n">
        <v>0</v>
      </c>
      <c r="F97" s="21" t="n">
        <f aca="false">E97-D97</f>
        <v>-8.2</v>
      </c>
      <c r="G97" s="22" t="n">
        <f aca="false">SUM(E97-D97)/D97</f>
        <v>-1</v>
      </c>
    </row>
    <row r="98" customFormat="false" ht="14.25" hidden="false" customHeight="false" outlineLevel="3" collapsed="false">
      <c r="A98" s="19" t="s">
        <v>103</v>
      </c>
      <c r="B98" s="20" t="n">
        <v>0</v>
      </c>
      <c r="C98" s="21"/>
      <c r="D98" s="20" t="n">
        <v>200</v>
      </c>
      <c r="E98" s="20" t="n">
        <v>100</v>
      </c>
      <c r="F98" s="21" t="n">
        <f aca="false">E98-D98</f>
        <v>-100</v>
      </c>
      <c r="G98" s="22" t="n">
        <f aca="false">SUM(E98-D98)/D98</f>
        <v>-0.5</v>
      </c>
    </row>
    <row r="99" customFormat="false" ht="14.25" hidden="false" customHeight="false" outlineLevel="3" collapsed="false">
      <c r="A99" s="19" t="s">
        <v>104</v>
      </c>
      <c r="B99" s="20" t="n">
        <v>75000</v>
      </c>
      <c r="C99" s="21" t="n">
        <v>80490</v>
      </c>
      <c r="D99" s="20" t="n">
        <v>115635</v>
      </c>
      <c r="E99" s="20" t="n">
        <f aca="false">57817.5+57817.5</f>
        <v>115635</v>
      </c>
      <c r="F99" s="21" t="n">
        <f aca="false">E99-D99</f>
        <v>0</v>
      </c>
      <c r="G99" s="22" t="n">
        <f aca="false">SUM(E99-D99)/D99</f>
        <v>0</v>
      </c>
    </row>
    <row r="100" customFormat="false" ht="14.25" hidden="false" customHeight="false" outlineLevel="3" collapsed="false">
      <c r="A100" s="19" t="s">
        <v>105</v>
      </c>
      <c r="B100" s="20" t="n">
        <v>2500</v>
      </c>
      <c r="C100" s="21" t="n">
        <v>0</v>
      </c>
      <c r="D100" s="20" t="n">
        <v>0</v>
      </c>
      <c r="E100" s="20" t="n">
        <v>0</v>
      </c>
      <c r="F100" s="21" t="n">
        <f aca="false">E100-D100</f>
        <v>0</v>
      </c>
      <c r="G100" s="22" t="n">
        <v>0</v>
      </c>
    </row>
    <row r="101" customFormat="false" ht="14.25" hidden="false" customHeight="false" outlineLevel="3" collapsed="false">
      <c r="A101" s="19" t="s">
        <v>106</v>
      </c>
      <c r="B101" s="20" t="n">
        <v>300</v>
      </c>
      <c r="C101" s="21" t="n">
        <v>883.74</v>
      </c>
      <c r="D101" s="20" t="n">
        <v>300</v>
      </c>
      <c r="E101" s="20" t="n">
        <v>300</v>
      </c>
      <c r="F101" s="21" t="n">
        <f aca="false">E101-D101</f>
        <v>0</v>
      </c>
      <c r="G101" s="22" t="n">
        <f aca="false">SUM(E101-D101)/D101</f>
        <v>0</v>
      </c>
    </row>
    <row r="102" customFormat="false" ht="14.25" hidden="false" customHeight="false" outlineLevel="3" collapsed="false">
      <c r="A102" s="19" t="s">
        <v>107</v>
      </c>
      <c r="B102" s="20" t="n">
        <v>500</v>
      </c>
      <c r="C102" s="21" t="n">
        <v>0</v>
      </c>
      <c r="D102" s="20" t="n">
        <v>0</v>
      </c>
      <c r="E102" s="20" t="n">
        <v>0</v>
      </c>
      <c r="F102" s="21" t="n">
        <f aca="false">E102-D102</f>
        <v>0</v>
      </c>
      <c r="G102" s="22" t="n">
        <v>0</v>
      </c>
    </row>
    <row r="103" s="28" customFormat="true" ht="14.25" hidden="false" customHeight="false" outlineLevel="2" collapsed="false">
      <c r="A103" s="47" t="s">
        <v>108</v>
      </c>
      <c r="B103" s="40" t="n">
        <f aca="false">SUM(B91:B102)</f>
        <v>80158</v>
      </c>
      <c r="C103" s="40" t="n">
        <f aca="false">SUM(C91:C102)</f>
        <v>81553.76</v>
      </c>
      <c r="D103" s="40" t="n">
        <v>117970.99291968</v>
      </c>
      <c r="E103" s="40" t="n">
        <f aca="false">SUM(E91:E102)</f>
        <v>117924.41065222</v>
      </c>
      <c r="F103" s="40" t="n">
        <f aca="false">E103-D103</f>
        <v>-46.5822674599913</v>
      </c>
      <c r="G103" s="41" t="n">
        <f aca="false">SUM(E103-D103)/D103</f>
        <v>-0.000394862044534173</v>
      </c>
      <c r="J103" s="29"/>
      <c r="K103" s="29"/>
    </row>
    <row r="104" s="28" customFormat="true" ht="14.25" hidden="false" customHeight="false" outlineLevel="2" collapsed="false">
      <c r="A104" s="51"/>
      <c r="B104" s="31"/>
      <c r="C104" s="32"/>
      <c r="D104" s="31"/>
      <c r="E104" s="31"/>
      <c r="F104" s="33"/>
      <c r="G104" s="34"/>
      <c r="J104" s="29"/>
      <c r="K104" s="29"/>
    </row>
    <row r="105" customFormat="false" ht="14.25" hidden="false" customHeight="false" outlineLevel="2" collapsed="false">
      <c r="A105" s="15" t="s">
        <v>109</v>
      </c>
      <c r="B105" s="35"/>
      <c r="C105" s="36"/>
      <c r="D105" s="35"/>
      <c r="E105" s="35"/>
      <c r="F105" s="37"/>
      <c r="G105" s="18"/>
    </row>
    <row r="106" customFormat="false" ht="14.25" hidden="false" customHeight="false" outlineLevel="2" collapsed="false">
      <c r="A106" s="19" t="s">
        <v>110</v>
      </c>
      <c r="B106" s="20" t="n">
        <v>7500</v>
      </c>
      <c r="C106" s="21" t="n">
        <v>12207.92</v>
      </c>
      <c r="D106" s="20" t="n">
        <v>11362.97</v>
      </c>
      <c r="E106" s="20" t="n">
        <v>11978.91</v>
      </c>
      <c r="F106" s="21" t="n">
        <f aca="false">E106-D106</f>
        <v>615.940000000001</v>
      </c>
      <c r="G106" s="22" t="n">
        <f aca="false">SUM(E106-D106)/D106</f>
        <v>0.0542058986338959</v>
      </c>
    </row>
    <row r="107" customFormat="false" ht="14.25" hidden="false" customHeight="false" outlineLevel="2" collapsed="false">
      <c r="A107" s="19" t="s">
        <v>111</v>
      </c>
      <c r="B107" s="20" t="n">
        <v>1300</v>
      </c>
      <c r="C107" s="21" t="n">
        <v>1494.06</v>
      </c>
      <c r="D107" s="20" t="n">
        <v>1300</v>
      </c>
      <c r="E107" s="20" t="n">
        <v>1300</v>
      </c>
      <c r="F107" s="21" t="n">
        <f aca="false">E107-D107</f>
        <v>0</v>
      </c>
      <c r="G107" s="22" t="n">
        <f aca="false">SUM(E107-D107)/D107</f>
        <v>0</v>
      </c>
    </row>
    <row r="108" customFormat="false" ht="14.25" hidden="false" customHeight="false" outlineLevel="4" collapsed="false">
      <c r="A108" s="19" t="s">
        <v>112</v>
      </c>
      <c r="B108" s="20" t="n">
        <v>600</v>
      </c>
      <c r="C108" s="21" t="n">
        <v>682.28</v>
      </c>
      <c r="D108" s="20" t="n">
        <v>600</v>
      </c>
      <c r="E108" s="20" t="n">
        <v>600</v>
      </c>
      <c r="F108" s="21" t="n">
        <f aca="false">E108-D108</f>
        <v>0</v>
      </c>
      <c r="G108" s="22" t="n">
        <f aca="false">SUM(E108-D108)/D108</f>
        <v>0</v>
      </c>
    </row>
    <row r="109" customFormat="false" ht="14.25" hidden="false" customHeight="false" outlineLevel="4" collapsed="false">
      <c r="A109" s="19" t="s">
        <v>113</v>
      </c>
      <c r="B109" s="20" t="n">
        <v>9000</v>
      </c>
      <c r="C109" s="21" t="n">
        <v>7519.68</v>
      </c>
      <c r="D109" s="20" t="n">
        <v>9000</v>
      </c>
      <c r="E109" s="20" t="n">
        <v>9000</v>
      </c>
      <c r="F109" s="21" t="n">
        <f aca="false">E109-D109</f>
        <v>0</v>
      </c>
      <c r="G109" s="22" t="n">
        <f aca="false">SUM(E109-D109)/D109</f>
        <v>0</v>
      </c>
    </row>
    <row r="110" customFormat="false" ht="14.25" hidden="false" customHeight="false" outlineLevel="4" collapsed="false">
      <c r="A110" s="19" t="s">
        <v>114</v>
      </c>
      <c r="B110" s="20" t="n">
        <v>4200</v>
      </c>
      <c r="C110" s="21" t="n">
        <v>9226.5</v>
      </c>
      <c r="D110" s="20" t="n">
        <v>4200</v>
      </c>
      <c r="E110" s="20" t="n">
        <v>5000</v>
      </c>
      <c r="F110" s="21" t="n">
        <f aca="false">E110-D110</f>
        <v>800</v>
      </c>
      <c r="G110" s="22" t="n">
        <f aca="false">SUM(E110-D110)/D110</f>
        <v>0.19047619047619</v>
      </c>
    </row>
    <row r="111" customFormat="false" ht="14.25" hidden="false" customHeight="false" outlineLevel="4" collapsed="false">
      <c r="A111" s="19" t="s">
        <v>115</v>
      </c>
      <c r="B111" s="20" t="n">
        <v>1560</v>
      </c>
      <c r="C111" s="21" t="n">
        <v>1602.15</v>
      </c>
      <c r="D111" s="20" t="n">
        <v>1750</v>
      </c>
      <c r="E111" s="20" t="n">
        <v>1750</v>
      </c>
      <c r="F111" s="21" t="n">
        <f aca="false">E111-D111</f>
        <v>0</v>
      </c>
      <c r="G111" s="22" t="n">
        <f aca="false">SUM(E111-D111)/D111</f>
        <v>0</v>
      </c>
    </row>
    <row r="112" customFormat="false" ht="14.25" hidden="false" customHeight="false" outlineLevel="4" collapsed="false">
      <c r="A112" s="19" t="s">
        <v>116</v>
      </c>
      <c r="B112" s="20" t="n">
        <v>1500</v>
      </c>
      <c r="C112" s="21" t="n">
        <v>241.05</v>
      </c>
      <c r="D112" s="20" t="n">
        <v>1000</v>
      </c>
      <c r="E112" s="20" t="n">
        <v>1000</v>
      </c>
      <c r="F112" s="21" t="n">
        <f aca="false">E112-D112</f>
        <v>0</v>
      </c>
      <c r="G112" s="22" t="n">
        <f aca="false">SUM(E112-D112)/D112</f>
        <v>0</v>
      </c>
    </row>
    <row r="113" customFormat="false" ht="14.25" hidden="false" customHeight="false" outlineLevel="4" collapsed="false">
      <c r="A113" s="19" t="s">
        <v>117</v>
      </c>
      <c r="B113" s="20" t="n">
        <v>2415</v>
      </c>
      <c r="C113" s="21" t="n">
        <v>2831.21</v>
      </c>
      <c r="D113" s="20" t="n">
        <v>2415</v>
      </c>
      <c r="E113" s="20" t="n">
        <v>2415</v>
      </c>
      <c r="F113" s="21" t="n">
        <f aca="false">E113-D113</f>
        <v>0</v>
      </c>
      <c r="G113" s="22" t="n">
        <f aca="false">SUM(E113-D113)/D113</f>
        <v>0</v>
      </c>
    </row>
    <row r="114" customFormat="false" ht="14.25" hidden="false" customHeight="false" outlineLevel="4" collapsed="false">
      <c r="A114" s="19" t="s">
        <v>118</v>
      </c>
      <c r="B114" s="20" t="n">
        <v>4515</v>
      </c>
      <c r="C114" s="21" t="n">
        <v>3448.68</v>
      </c>
      <c r="D114" s="20" t="n">
        <v>4515</v>
      </c>
      <c r="E114" s="20" t="n">
        <v>4515</v>
      </c>
      <c r="F114" s="21" t="n">
        <f aca="false">E114-D114</f>
        <v>0</v>
      </c>
      <c r="G114" s="22" t="n">
        <f aca="false">SUM(E114-D114)/D114</f>
        <v>0</v>
      </c>
    </row>
    <row r="115" customFormat="false" ht="14.25" hidden="false" customHeight="false" outlineLevel="4" collapsed="false">
      <c r="A115" s="19" t="s">
        <v>119</v>
      </c>
      <c r="B115" s="20" t="n">
        <v>4250</v>
      </c>
      <c r="C115" s="21" t="n">
        <v>2971.5</v>
      </c>
      <c r="D115" s="20" t="n">
        <v>4500</v>
      </c>
      <c r="E115" s="20" t="n">
        <v>3500</v>
      </c>
      <c r="F115" s="21" t="n">
        <f aca="false">E115-D115</f>
        <v>-1000</v>
      </c>
      <c r="G115" s="22" t="n">
        <f aca="false">SUM(E115-D115)/D115</f>
        <v>-0.222222222222222</v>
      </c>
    </row>
    <row r="116" customFormat="false" ht="14.25" hidden="false" customHeight="false" outlineLevel="4" collapsed="false">
      <c r="A116" s="19" t="s">
        <v>120</v>
      </c>
      <c r="B116" s="20" t="n">
        <v>33696</v>
      </c>
      <c r="C116" s="21" t="n">
        <v>34254.67</v>
      </c>
      <c r="D116" s="20" t="n">
        <v>36026.44</v>
      </c>
      <c r="E116" s="20" t="n">
        <v>36556.81</v>
      </c>
      <c r="F116" s="21" t="n">
        <f aca="false">E116-D116</f>
        <v>530.369999999995</v>
      </c>
      <c r="G116" s="22" t="n">
        <f aca="false">SUM(E116-D116)/D116</f>
        <v>0.0147216877382277</v>
      </c>
    </row>
    <row r="117" customFormat="false" ht="14.25" hidden="false" customHeight="false" outlineLevel="4" collapsed="false">
      <c r="A117" s="19" t="s">
        <v>121</v>
      </c>
      <c r="B117" s="20" t="n">
        <v>1875</v>
      </c>
      <c r="C117" s="21" t="n">
        <v>691.36</v>
      </c>
      <c r="D117" s="20" t="n">
        <v>1700</v>
      </c>
      <c r="E117" s="20" t="n">
        <v>1700</v>
      </c>
      <c r="F117" s="21" t="n">
        <f aca="false">E117-D117</f>
        <v>0</v>
      </c>
      <c r="G117" s="22" t="n">
        <f aca="false">SUM(E117-D117)/D117</f>
        <v>0</v>
      </c>
    </row>
    <row r="118" customFormat="false" ht="14.25" hidden="false" customHeight="false" outlineLevel="4" collapsed="false">
      <c r="A118" s="24" t="s">
        <v>122</v>
      </c>
      <c r="B118" s="20" t="n">
        <v>300</v>
      </c>
      <c r="C118" s="21" t="n">
        <v>0</v>
      </c>
      <c r="D118" s="20" t="n">
        <v>500</v>
      </c>
      <c r="E118" s="20" t="n">
        <v>500</v>
      </c>
      <c r="F118" s="21" t="n">
        <f aca="false">E118-D118</f>
        <v>0</v>
      </c>
      <c r="G118" s="22" t="n">
        <f aca="false">SUM(E118-D118)/D118</f>
        <v>0</v>
      </c>
    </row>
    <row r="119" customFormat="false" ht="14.25" hidden="false" customHeight="false" outlineLevel="4" collapsed="false">
      <c r="A119" s="19" t="s">
        <v>123</v>
      </c>
      <c r="B119" s="20" t="n">
        <v>250</v>
      </c>
      <c r="C119" s="21" t="n">
        <v>0</v>
      </c>
      <c r="D119" s="20" t="n">
        <v>250</v>
      </c>
      <c r="E119" s="20" t="n">
        <v>250</v>
      </c>
      <c r="F119" s="21" t="n">
        <f aca="false">E119-D119</f>
        <v>0</v>
      </c>
      <c r="G119" s="22" t="n">
        <f aca="false">SUM(E119-D119)/D119</f>
        <v>0</v>
      </c>
    </row>
    <row r="120" customFormat="false" ht="14.25" hidden="false" customHeight="false" outlineLevel="4" collapsed="false">
      <c r="A120" s="19" t="s">
        <v>124</v>
      </c>
      <c r="B120" s="20" t="n">
        <v>1500</v>
      </c>
      <c r="C120" s="21" t="n">
        <v>0</v>
      </c>
      <c r="D120" s="20" t="n">
        <v>1000</v>
      </c>
      <c r="E120" s="20" t="n">
        <v>1000</v>
      </c>
      <c r="F120" s="21" t="n">
        <f aca="false">E120-D120</f>
        <v>0</v>
      </c>
      <c r="G120" s="22" t="n">
        <f aca="false">SUM(E120-D120)/D120</f>
        <v>0</v>
      </c>
    </row>
    <row r="121" customFormat="false" ht="14.25" hidden="false" customHeight="false" outlineLevel="4" collapsed="false">
      <c r="A121" s="19" t="s">
        <v>125</v>
      </c>
      <c r="B121" s="20" t="n">
        <v>18000</v>
      </c>
      <c r="C121" s="21" t="n">
        <v>17006.02</v>
      </c>
      <c r="D121" s="20" t="n">
        <v>22000</v>
      </c>
      <c r="E121" s="20" t="n">
        <v>22000</v>
      </c>
      <c r="F121" s="21" t="n">
        <f aca="false">E121-D121</f>
        <v>0</v>
      </c>
      <c r="G121" s="22" t="n">
        <f aca="false">SUM(E121-D121)/D121</f>
        <v>0</v>
      </c>
    </row>
    <row r="122" customFormat="false" ht="14.25" hidden="false" customHeight="false" outlineLevel="4" collapsed="false">
      <c r="A122" s="19" t="s">
        <v>126</v>
      </c>
      <c r="B122" s="20" t="n">
        <v>0</v>
      </c>
      <c r="C122" s="21" t="n">
        <f aca="false">83.24+1538.68</f>
        <v>1621.92</v>
      </c>
      <c r="D122" s="20" t="n">
        <v>1779.8</v>
      </c>
      <c r="E122" s="20" t="n">
        <v>1683</v>
      </c>
      <c r="F122" s="21" t="n">
        <f aca="false">E122-D122</f>
        <v>-96.8</v>
      </c>
      <c r="G122" s="22" t="n">
        <f aca="false">SUM(E122-D122)/D122</f>
        <v>-0.0543881334981458</v>
      </c>
    </row>
    <row r="123" customFormat="false" ht="14.25" hidden="false" customHeight="false" outlineLevel="4" collapsed="false">
      <c r="A123" s="19" t="s">
        <v>127</v>
      </c>
      <c r="B123" s="20"/>
      <c r="C123" s="21"/>
      <c r="D123" s="20"/>
      <c r="E123" s="20" t="n">
        <v>96.8</v>
      </c>
      <c r="F123" s="21"/>
      <c r="G123" s="22" t="s">
        <v>16</v>
      </c>
    </row>
    <row r="124" customFormat="false" ht="14.25" hidden="false" customHeight="false" outlineLevel="4" collapsed="false">
      <c r="A124" s="19" t="s">
        <v>128</v>
      </c>
      <c r="B124" s="20" t="n">
        <v>1200</v>
      </c>
      <c r="C124" s="21" t="n">
        <v>561</v>
      </c>
      <c r="D124" s="20" t="n">
        <v>1200</v>
      </c>
      <c r="E124" s="20" t="n">
        <v>1200</v>
      </c>
      <c r="F124" s="21" t="n">
        <f aca="false">E124-D124</f>
        <v>0</v>
      </c>
      <c r="G124" s="22" t="n">
        <f aca="false">SUM(E124-D124)/D124</f>
        <v>0</v>
      </c>
    </row>
    <row r="125" customFormat="false" ht="14.25" hidden="false" customHeight="false" outlineLevel="4" collapsed="false">
      <c r="A125" s="19" t="s">
        <v>129</v>
      </c>
      <c r="B125" s="20" t="n">
        <v>0</v>
      </c>
      <c r="C125" s="21"/>
      <c r="D125" s="20" t="n">
        <v>300</v>
      </c>
      <c r="E125" s="20" t="n">
        <v>300</v>
      </c>
      <c r="F125" s="21" t="n">
        <f aca="false">E125-D125</f>
        <v>0</v>
      </c>
      <c r="G125" s="22" t="n">
        <f aca="false">SUM(E125-D125)/D125</f>
        <v>0</v>
      </c>
    </row>
    <row r="126" customFormat="false" ht="14.25" hidden="false" customHeight="false" outlineLevel="4" collapsed="false">
      <c r="A126" s="19" t="s">
        <v>130</v>
      </c>
      <c r="B126" s="20" t="n">
        <v>0</v>
      </c>
      <c r="C126" s="21" t="n">
        <v>800</v>
      </c>
      <c r="D126" s="20" t="n">
        <v>0</v>
      </c>
      <c r="E126" s="20" t="n">
        <v>1000</v>
      </c>
      <c r="F126" s="21" t="n">
        <f aca="false">E126-D126</f>
        <v>1000</v>
      </c>
      <c r="G126" s="22" t="n">
        <v>1</v>
      </c>
    </row>
    <row r="127" s="28" customFormat="true" ht="14.25" hidden="false" customHeight="false" outlineLevel="3" collapsed="false">
      <c r="A127" s="47" t="s">
        <v>131</v>
      </c>
      <c r="B127" s="40" t="n">
        <f aca="false">SUM(B106:B126)</f>
        <v>93661</v>
      </c>
      <c r="C127" s="40" t="n">
        <f aca="false">SUM(C106:C126)</f>
        <v>97160</v>
      </c>
      <c r="D127" s="40" t="n">
        <f aca="false">SUM(D106:D126)</f>
        <v>105399.21</v>
      </c>
      <c r="E127" s="40" t="n">
        <f aca="false">SUM(E106:E126)</f>
        <v>107345.52</v>
      </c>
      <c r="F127" s="40" t="n">
        <f aca="false">E127-D127</f>
        <v>1946.31</v>
      </c>
      <c r="G127" s="41" t="n">
        <f aca="false">SUM(E127-D127)/D127</f>
        <v>0.01846607768692</v>
      </c>
      <c r="H127" s="52"/>
      <c r="J127" s="29"/>
      <c r="K127" s="29"/>
    </row>
    <row r="128" s="28" customFormat="true" ht="14.25" hidden="false" customHeight="false" outlineLevel="3" collapsed="false">
      <c r="A128" s="51"/>
      <c r="B128" s="44"/>
      <c r="C128" s="44"/>
      <c r="D128" s="44"/>
      <c r="E128" s="44"/>
      <c r="F128" s="44"/>
      <c r="G128" s="53"/>
      <c r="J128" s="29"/>
      <c r="K128" s="29"/>
    </row>
    <row r="129" customFormat="false" ht="14.25" hidden="false" customHeight="false" outlineLevel="3" collapsed="false">
      <c r="A129" s="54" t="s">
        <v>132</v>
      </c>
      <c r="B129" s="55"/>
      <c r="C129" s="56"/>
      <c r="D129" s="55"/>
      <c r="E129" s="55"/>
      <c r="F129" s="57"/>
      <c r="G129" s="58"/>
    </row>
    <row r="130" customFormat="false" ht="14.25" hidden="false" customHeight="false" outlineLevel="3" collapsed="false">
      <c r="A130" s="19" t="s">
        <v>133</v>
      </c>
      <c r="B130" s="20" t="n">
        <v>40000</v>
      </c>
      <c r="C130" s="21" t="n">
        <v>40000</v>
      </c>
      <c r="D130" s="20" t="n">
        <v>40000</v>
      </c>
      <c r="E130" s="20" t="n">
        <v>40000</v>
      </c>
      <c r="F130" s="21" t="n">
        <f aca="false">E130-D130</f>
        <v>0</v>
      </c>
      <c r="G130" s="34" t="n">
        <f aca="false">SUM(E130-D130)/D130</f>
        <v>0</v>
      </c>
    </row>
    <row r="131" customFormat="false" ht="14.25" hidden="false" customHeight="false" outlineLevel="3" collapsed="false">
      <c r="A131" s="19" t="s">
        <v>134</v>
      </c>
      <c r="B131" s="20" t="n">
        <v>10548</v>
      </c>
      <c r="C131" s="21" t="n">
        <v>8908.18</v>
      </c>
      <c r="D131" s="20" t="n">
        <v>8699.7</v>
      </c>
      <c r="E131" s="20" t="n">
        <f aca="false">3882.7+2934.53</f>
        <v>6817.23</v>
      </c>
      <c r="F131" s="21" t="n">
        <f aca="false">E131-D131</f>
        <v>-1882.47</v>
      </c>
      <c r="G131" s="34" t="n">
        <f aca="false">SUM(E131-D131)/D131</f>
        <v>-0.216383323562882</v>
      </c>
    </row>
    <row r="132" customFormat="false" ht="14.25" hidden="false" customHeight="false" outlineLevel="3" collapsed="false">
      <c r="A132" s="19" t="s">
        <v>135</v>
      </c>
      <c r="B132" s="20" t="n">
        <v>14593</v>
      </c>
      <c r="C132" s="21" t="n">
        <v>14593.43</v>
      </c>
      <c r="D132" s="20" t="n">
        <v>14593</v>
      </c>
      <c r="E132" s="20" t="n">
        <v>0</v>
      </c>
      <c r="F132" s="21" t="n">
        <f aca="false">E132-D132</f>
        <v>-14593</v>
      </c>
      <c r="G132" s="34" t="n">
        <f aca="false">SUM(E132-D132)/D132</f>
        <v>-1</v>
      </c>
    </row>
    <row r="133" customFormat="false" ht="14.25" hidden="false" customHeight="false" outlineLevel="3" collapsed="false">
      <c r="A133" s="19" t="s">
        <v>136</v>
      </c>
      <c r="B133" s="20" t="n">
        <v>876</v>
      </c>
      <c r="C133" s="21" t="n">
        <v>976.64</v>
      </c>
      <c r="D133" s="20" t="n">
        <v>437.49</v>
      </c>
      <c r="E133" s="20" t="n">
        <v>0</v>
      </c>
      <c r="F133" s="21" t="n">
        <f aca="false">E133-D133</f>
        <v>-437.49</v>
      </c>
      <c r="G133" s="34" t="n">
        <f aca="false">SUM(E133-D133)/D133</f>
        <v>-1</v>
      </c>
    </row>
    <row r="134" customFormat="false" ht="14.25" hidden="false" customHeight="false" outlineLevel="3" collapsed="false">
      <c r="A134" s="47" t="s">
        <v>137</v>
      </c>
      <c r="B134" s="40" t="n">
        <f aca="false">SUM(B130:B133)</f>
        <v>66017</v>
      </c>
      <c r="C134" s="40" t="n">
        <f aca="false">SUM(C130:C133)</f>
        <v>64478.25</v>
      </c>
      <c r="D134" s="40" t="n">
        <f aca="false">SUM(D130:D133)</f>
        <v>63730.19</v>
      </c>
      <c r="E134" s="40" t="n">
        <f aca="false">SUM(E130:E133)</f>
        <v>46817.23</v>
      </c>
      <c r="F134" s="40" t="n">
        <f aca="false">SUM(F130:F133)</f>
        <v>-16912.96</v>
      </c>
      <c r="G134" s="41" t="n">
        <f aca="false">SUM(E134-D134)/D134</f>
        <v>-0.265383800048297</v>
      </c>
    </row>
    <row r="135" s="28" customFormat="true" ht="14.25" hidden="false" customHeight="false" outlineLevel="2" collapsed="false">
      <c r="A135" s="59" t="s">
        <v>138</v>
      </c>
      <c r="B135" s="60" t="n">
        <f aca="false">B134+B127</f>
        <v>159678</v>
      </c>
      <c r="C135" s="60" t="n">
        <f aca="false">C134+C127</f>
        <v>161638.25</v>
      </c>
      <c r="D135" s="60" t="n">
        <f aca="false">D134+D127</f>
        <v>169129.4</v>
      </c>
      <c r="E135" s="60" t="n">
        <f aca="false">E134+E127</f>
        <v>154162.75</v>
      </c>
      <c r="F135" s="60" t="n">
        <f aca="false">E135-D135</f>
        <v>-14966.65</v>
      </c>
      <c r="G135" s="61" t="n">
        <f aca="false">SUM(E135-D135)/D135</f>
        <v>-0.0884923023436494</v>
      </c>
      <c r="J135" s="29"/>
      <c r="K135" s="29"/>
    </row>
    <row r="136" s="28" customFormat="true" ht="14.25" hidden="false" customHeight="false" outlineLevel="2" collapsed="false">
      <c r="A136" s="30"/>
      <c r="B136" s="31"/>
      <c r="C136" s="32"/>
      <c r="D136" s="31"/>
      <c r="E136" s="31"/>
      <c r="F136" s="33"/>
      <c r="G136" s="34"/>
      <c r="J136" s="29"/>
      <c r="K136" s="29"/>
    </row>
    <row r="137" customFormat="false" ht="14.25" hidden="false" customHeight="false" outlineLevel="2" collapsed="false">
      <c r="A137" s="15" t="s">
        <v>139</v>
      </c>
      <c r="B137" s="35"/>
      <c r="C137" s="36"/>
      <c r="D137" s="35"/>
      <c r="E137" s="35"/>
      <c r="F137" s="37"/>
      <c r="G137" s="18"/>
    </row>
    <row r="138" customFormat="false" ht="14.25" hidden="false" customHeight="false" outlineLevel="2" collapsed="false">
      <c r="A138" s="54" t="s">
        <v>140</v>
      </c>
      <c r="B138" s="55"/>
      <c r="C138" s="56"/>
      <c r="D138" s="55"/>
      <c r="E138" s="55"/>
      <c r="F138" s="57"/>
      <c r="G138" s="58"/>
    </row>
    <row r="139" customFormat="false" ht="14.25" hidden="false" customHeight="false" outlineLevel="2" collapsed="false">
      <c r="A139" s="62" t="s">
        <v>141</v>
      </c>
      <c r="B139" s="20" t="n">
        <v>19800</v>
      </c>
      <c r="C139" s="50" t="n">
        <v>19877.58</v>
      </c>
      <c r="D139" s="20" t="n">
        <v>19800</v>
      </c>
      <c r="E139" s="63" t="n">
        <v>20400</v>
      </c>
      <c r="F139" s="50" t="n">
        <f aca="false">E139-D139</f>
        <v>600</v>
      </c>
      <c r="G139" s="34" t="n">
        <f aca="false">SUM(E139-D139)/D139</f>
        <v>0.0303030303030303</v>
      </c>
    </row>
    <row r="140" customFormat="false" ht="14.25" hidden="false" customHeight="false" outlineLevel="2" collapsed="false">
      <c r="A140" s="62" t="s">
        <v>142</v>
      </c>
      <c r="B140" s="20" t="n">
        <v>25500</v>
      </c>
      <c r="C140" s="50" t="n">
        <v>36844</v>
      </c>
      <c r="D140" s="20" t="n">
        <v>30000</v>
      </c>
      <c r="E140" s="63" t="n">
        <v>65000</v>
      </c>
      <c r="F140" s="50" t="n">
        <f aca="false">E140-D140</f>
        <v>35000</v>
      </c>
      <c r="G140" s="34" t="n">
        <f aca="false">SUM(E140-D140)/D140</f>
        <v>1.16666666666667</v>
      </c>
      <c r="I140" s="64" t="n">
        <f aca="false">(F140+F141)/D330</f>
        <v>0.0370018085712772</v>
      </c>
    </row>
    <row r="141" customFormat="false" ht="14.25" hidden="false" customHeight="false" outlineLevel="2" collapsed="false">
      <c r="A141" s="62" t="s">
        <v>143</v>
      </c>
      <c r="B141" s="20" t="n">
        <v>25000</v>
      </c>
      <c r="C141" s="50" t="n">
        <v>33625</v>
      </c>
      <c r="D141" s="20" t="n">
        <v>25000</v>
      </c>
      <c r="E141" s="63" t="n">
        <v>65000</v>
      </c>
      <c r="F141" s="50" t="n">
        <f aca="false">E141-D141</f>
        <v>40000</v>
      </c>
      <c r="G141" s="34" t="n">
        <f aca="false">SUM(E141-D141)/D141</f>
        <v>1.6</v>
      </c>
    </row>
    <row r="142" customFormat="false" ht="14.25" hidden="false" customHeight="false" outlineLevel="2" collapsed="false">
      <c r="A142" s="62" t="s">
        <v>144</v>
      </c>
      <c r="B142" s="20" t="n">
        <v>10500</v>
      </c>
      <c r="C142" s="50" t="n">
        <v>4357.5</v>
      </c>
      <c r="D142" s="20" t="n">
        <v>12500</v>
      </c>
      <c r="E142" s="63" t="n">
        <v>8000</v>
      </c>
      <c r="F142" s="50" t="n">
        <f aca="false">E142-D142</f>
        <v>-4500</v>
      </c>
      <c r="G142" s="34" t="n">
        <f aca="false">SUM(E142-D142)/D142</f>
        <v>-0.36</v>
      </c>
    </row>
    <row r="143" customFormat="false" ht="14.25" hidden="false" customHeight="false" outlineLevel="2" collapsed="false">
      <c r="A143" s="62" t="s">
        <v>145</v>
      </c>
      <c r="B143" s="20" t="n">
        <v>0</v>
      </c>
      <c r="C143" s="50" t="n">
        <v>1786.65</v>
      </c>
      <c r="D143" s="20" t="n">
        <v>0</v>
      </c>
      <c r="E143" s="63"/>
      <c r="F143" s="50" t="n">
        <f aca="false">E143-D143</f>
        <v>0</v>
      </c>
      <c r="G143" s="34" t="n">
        <v>0</v>
      </c>
    </row>
    <row r="144" s="28" customFormat="true" ht="14.25" hidden="false" customHeight="false" outlineLevel="2" collapsed="false">
      <c r="A144" s="47" t="s">
        <v>146</v>
      </c>
      <c r="B144" s="40" t="n">
        <f aca="false">SUM(B138:B143)</f>
        <v>80800</v>
      </c>
      <c r="C144" s="40" t="n">
        <f aca="false">SUM(C138:C143)</f>
        <v>96490.73</v>
      </c>
      <c r="D144" s="40" t="n">
        <f aca="false">SUM(D139:D143)</f>
        <v>87300</v>
      </c>
      <c r="E144" s="40" t="n">
        <f aca="false">SUM(E139:E143)</f>
        <v>158400</v>
      </c>
      <c r="F144" s="40" t="n">
        <f aca="false">SUM(F139:F143)</f>
        <v>71100</v>
      </c>
      <c r="G144" s="27" t="n">
        <f aca="false">SUM(E144-D144)/D144</f>
        <v>0.814432989690722</v>
      </c>
      <c r="J144" s="29"/>
      <c r="K144" s="29"/>
    </row>
    <row r="145" s="28" customFormat="true" ht="14.25" hidden="false" customHeight="false" outlineLevel="2" collapsed="false">
      <c r="A145" s="51"/>
      <c r="B145" s="49"/>
      <c r="C145" s="49"/>
      <c r="D145" s="49"/>
      <c r="E145" s="49"/>
      <c r="F145" s="49"/>
      <c r="G145" s="53"/>
      <c r="J145" s="29"/>
      <c r="K145" s="29"/>
    </row>
    <row r="146" customFormat="false" ht="14.25" hidden="false" customHeight="false" outlineLevel="2" collapsed="false">
      <c r="A146" s="54" t="s">
        <v>147</v>
      </c>
      <c r="B146" s="55"/>
      <c r="C146" s="56"/>
      <c r="D146" s="55"/>
      <c r="E146" s="55"/>
      <c r="F146" s="57"/>
      <c r="G146" s="58"/>
    </row>
    <row r="147" customFormat="false" ht="14.25" hidden="false" customHeight="false" outlineLevel="2" collapsed="false">
      <c r="A147" s="38" t="s">
        <v>148</v>
      </c>
      <c r="B147" s="20" t="n">
        <v>2000</v>
      </c>
      <c r="C147" s="21"/>
      <c r="D147" s="20" t="n">
        <v>2000</v>
      </c>
      <c r="E147" s="20" t="n">
        <v>0</v>
      </c>
      <c r="F147" s="21" t="n">
        <f aca="false">E147-D147</f>
        <v>-2000</v>
      </c>
      <c r="G147" s="22" t="n">
        <f aca="false">SUM(E147-D147)/D147</f>
        <v>-1</v>
      </c>
    </row>
    <row r="148" customFormat="false" ht="14.25" hidden="false" customHeight="false" outlineLevel="2" collapsed="false">
      <c r="A148" s="38" t="s">
        <v>149</v>
      </c>
      <c r="B148" s="20" t="n">
        <v>1000</v>
      </c>
      <c r="C148" s="21" t="n">
        <v>2981.27</v>
      </c>
      <c r="D148" s="20" t="n">
        <v>1500</v>
      </c>
      <c r="E148" s="20" t="n">
        <v>2000</v>
      </c>
      <c r="F148" s="21" t="n">
        <f aca="false">E148-D148</f>
        <v>500</v>
      </c>
      <c r="G148" s="22" t="n">
        <f aca="false">SUM(E148-D148)/D148</f>
        <v>0.333333333333333</v>
      </c>
    </row>
    <row r="149" customFormat="false" ht="14.25" hidden="false" customHeight="false" outlineLevel="2" collapsed="false">
      <c r="A149" s="38" t="s">
        <v>150</v>
      </c>
      <c r="B149" s="20" t="n">
        <v>0</v>
      </c>
      <c r="C149" s="21" t="n">
        <v>757.2</v>
      </c>
      <c r="D149" s="20" t="n">
        <v>0</v>
      </c>
      <c r="E149" s="20"/>
      <c r="F149" s="21" t="n">
        <f aca="false">E149-D149</f>
        <v>0</v>
      </c>
      <c r="G149" s="22" t="n">
        <v>0</v>
      </c>
    </row>
    <row r="150" customFormat="false" ht="14.25" hidden="false" customHeight="false" outlineLevel="2" collapsed="false">
      <c r="A150" s="38" t="s">
        <v>151</v>
      </c>
      <c r="B150" s="20" t="n">
        <v>0</v>
      </c>
      <c r="C150" s="21"/>
      <c r="D150" s="20" t="n">
        <v>0</v>
      </c>
      <c r="E150" s="20"/>
      <c r="F150" s="21" t="n">
        <f aca="false">E150-D150</f>
        <v>0</v>
      </c>
      <c r="G150" s="22" t="n">
        <v>0</v>
      </c>
    </row>
    <row r="151" customFormat="false" ht="14.25" hidden="false" customHeight="false" outlineLevel="2" collapsed="false">
      <c r="A151" s="38" t="s">
        <v>152</v>
      </c>
      <c r="B151" s="20" t="n">
        <v>40000</v>
      </c>
      <c r="C151" s="21" t="n">
        <v>27340.33</v>
      </c>
      <c r="D151" s="20" t="n">
        <v>60000</v>
      </c>
      <c r="E151" s="20" t="n">
        <v>60000</v>
      </c>
      <c r="F151" s="21" t="n">
        <f aca="false">E151-D151</f>
        <v>0</v>
      </c>
      <c r="G151" s="22" t="n">
        <f aca="false">SUM(E151-D151)/D151</f>
        <v>0</v>
      </c>
    </row>
    <row r="152" customFormat="false" ht="14.25" hidden="false" customHeight="false" outlineLevel="2" collapsed="false">
      <c r="A152" s="38" t="s">
        <v>153</v>
      </c>
      <c r="B152" s="20" t="n">
        <v>7000</v>
      </c>
      <c r="C152" s="21" t="n">
        <v>0</v>
      </c>
      <c r="D152" s="20" t="n">
        <v>10000</v>
      </c>
      <c r="E152" s="20" t="n">
        <v>11000</v>
      </c>
      <c r="F152" s="21" t="n">
        <f aca="false">E152-D152</f>
        <v>1000</v>
      </c>
      <c r="G152" s="22" t="n">
        <f aca="false">SUM(E152-D152)/D152</f>
        <v>0.1</v>
      </c>
    </row>
    <row r="153" customFormat="false" ht="14.25" hidden="false" customHeight="false" outlineLevel="2" collapsed="false">
      <c r="A153" s="38" t="s">
        <v>154</v>
      </c>
      <c r="B153" s="20" t="n">
        <v>23000</v>
      </c>
      <c r="C153" s="21" t="n">
        <v>27878.12</v>
      </c>
      <c r="D153" s="20" t="n">
        <v>23000</v>
      </c>
      <c r="E153" s="20" t="n">
        <v>28000</v>
      </c>
      <c r="F153" s="21" t="n">
        <f aca="false">E153-D153</f>
        <v>5000</v>
      </c>
      <c r="G153" s="22" t="n">
        <f aca="false">SUM(E153-D153)/D153</f>
        <v>0.217391304347826</v>
      </c>
    </row>
    <row r="154" customFormat="false" ht="14.25" hidden="false" customHeight="false" outlineLevel="2" collapsed="false">
      <c r="A154" s="38" t="s">
        <v>155</v>
      </c>
      <c r="B154" s="20" t="n">
        <v>3000</v>
      </c>
      <c r="C154" s="21" t="n">
        <v>3774.68</v>
      </c>
      <c r="D154" s="20" t="n">
        <v>3000</v>
      </c>
      <c r="E154" s="20" t="n">
        <v>3000</v>
      </c>
      <c r="F154" s="21" t="n">
        <f aca="false">E154-D154</f>
        <v>0</v>
      </c>
      <c r="G154" s="22" t="n">
        <f aca="false">SUM(E154-D154)/D154</f>
        <v>0</v>
      </c>
    </row>
    <row r="155" customFormat="false" ht="14.25" hidden="false" customHeight="false" outlineLevel="2" collapsed="false">
      <c r="A155" s="38" t="s">
        <v>156</v>
      </c>
      <c r="B155" s="20" t="n">
        <v>5000</v>
      </c>
      <c r="C155" s="21" t="n">
        <v>0</v>
      </c>
      <c r="D155" s="20" t="n">
        <v>0</v>
      </c>
      <c r="E155" s="20" t="n">
        <v>5000</v>
      </c>
      <c r="F155" s="21" t="n">
        <f aca="false">E155-D155</f>
        <v>5000</v>
      </c>
      <c r="G155" s="22" t="n">
        <v>1</v>
      </c>
    </row>
    <row r="156" customFormat="false" ht="14.25" hidden="false" customHeight="false" outlineLevel="2" collapsed="false">
      <c r="A156" s="38" t="s">
        <v>157</v>
      </c>
      <c r="B156" s="20" t="n">
        <v>500</v>
      </c>
      <c r="C156" s="21" t="n">
        <v>520.59</v>
      </c>
      <c r="D156" s="20" t="n">
        <v>1500</v>
      </c>
      <c r="E156" s="20" t="n">
        <v>1000</v>
      </c>
      <c r="F156" s="21" t="n">
        <f aca="false">E156-D156</f>
        <v>-500</v>
      </c>
      <c r="G156" s="22" t="n">
        <f aca="false">SUM(E156-D156)/D156</f>
        <v>-0.333333333333333</v>
      </c>
    </row>
    <row r="157" customFormat="false" ht="14.25" hidden="false" customHeight="false" outlineLevel="2" collapsed="false">
      <c r="A157" s="38" t="s">
        <v>158</v>
      </c>
      <c r="B157" s="20" t="n">
        <v>1590</v>
      </c>
      <c r="C157" s="21" t="n">
        <v>1350</v>
      </c>
      <c r="D157" s="20" t="n">
        <v>1590</v>
      </c>
      <c r="E157" s="20" t="n">
        <v>1590</v>
      </c>
      <c r="F157" s="21" t="n">
        <f aca="false">E157-D157</f>
        <v>0</v>
      </c>
      <c r="G157" s="22" t="n">
        <f aca="false">SUM(E157-D157)/D157</f>
        <v>0</v>
      </c>
    </row>
    <row r="158" customFormat="false" ht="14.25" hidden="false" customHeight="false" outlineLevel="2" collapsed="false">
      <c r="A158" s="38" t="s">
        <v>143</v>
      </c>
      <c r="B158" s="20" t="n">
        <v>0</v>
      </c>
      <c r="C158" s="21" t="n">
        <v>0</v>
      </c>
      <c r="D158" s="20" t="n">
        <v>0</v>
      </c>
      <c r="E158" s="20"/>
      <c r="F158" s="21" t="n">
        <f aca="false">E158-D158</f>
        <v>0</v>
      </c>
      <c r="G158" s="22" t="n">
        <v>0</v>
      </c>
      <c r="I158" s="65"/>
    </row>
    <row r="159" s="28" customFormat="true" ht="14.25" hidden="false" customHeight="false" outlineLevel="2" collapsed="false">
      <c r="A159" s="47" t="s">
        <v>159</v>
      </c>
      <c r="B159" s="40" t="n">
        <f aca="false">SUM(B147:B158)</f>
        <v>83090</v>
      </c>
      <c r="C159" s="40" t="n">
        <f aca="false">SUM(C147:C158)</f>
        <v>64602.19</v>
      </c>
      <c r="D159" s="40" t="n">
        <f aca="false">SUM(D147:D158)</f>
        <v>102590</v>
      </c>
      <c r="E159" s="40" t="n">
        <f aca="false">SUM(E147:E158)</f>
        <v>111590</v>
      </c>
      <c r="F159" s="40" t="n">
        <f aca="false">E159-D159</f>
        <v>9000</v>
      </c>
      <c r="G159" s="27" t="n">
        <f aca="false">SUM(E159-D159)/D159</f>
        <v>0.0877278487181987</v>
      </c>
      <c r="I159" s="66"/>
      <c r="J159" s="29"/>
      <c r="K159" s="29"/>
    </row>
    <row r="160" s="28" customFormat="true" ht="14.25" hidden="false" customHeight="false" outlineLevel="2" collapsed="false">
      <c r="A160" s="51"/>
      <c r="B160" s="67"/>
      <c r="C160" s="67"/>
      <c r="D160" s="67"/>
      <c r="E160" s="67"/>
      <c r="F160" s="67"/>
      <c r="G160" s="53"/>
      <c r="I160" s="66"/>
      <c r="J160" s="29"/>
      <c r="K160" s="29"/>
    </row>
    <row r="161" customFormat="false" ht="14.25" hidden="false" customHeight="false" outlineLevel="2" collapsed="false">
      <c r="A161" s="54" t="s">
        <v>160</v>
      </c>
      <c r="B161" s="55"/>
      <c r="C161" s="56"/>
      <c r="D161" s="55"/>
      <c r="E161" s="55"/>
      <c r="F161" s="57"/>
      <c r="G161" s="58"/>
    </row>
    <row r="162" customFormat="false" ht="14.25" hidden="false" customHeight="false" outlineLevel="2" collapsed="false">
      <c r="A162" s="62" t="s">
        <v>161</v>
      </c>
      <c r="B162" s="20" t="n">
        <v>38000</v>
      </c>
      <c r="C162" s="21" t="n">
        <v>50679.92</v>
      </c>
      <c r="D162" s="20" t="n">
        <v>43000</v>
      </c>
      <c r="E162" s="63" t="n">
        <v>44000</v>
      </c>
      <c r="F162" s="50" t="n">
        <f aca="false">E162-D162</f>
        <v>1000</v>
      </c>
      <c r="G162" s="34" t="n">
        <f aca="false">SUM(E162-D162)/D162</f>
        <v>0.0232558139534884</v>
      </c>
    </row>
    <row r="163" customFormat="false" ht="14.25" hidden="false" customHeight="false" outlineLevel="2" collapsed="false">
      <c r="A163" s="62" t="s">
        <v>162</v>
      </c>
      <c r="B163" s="20" t="n">
        <v>20000</v>
      </c>
      <c r="C163" s="21" t="n">
        <v>16231.33</v>
      </c>
      <c r="D163" s="20" t="n">
        <v>20000</v>
      </c>
      <c r="E163" s="63" t="n">
        <v>20000</v>
      </c>
      <c r="F163" s="50" t="n">
        <f aca="false">E163-D163</f>
        <v>0</v>
      </c>
      <c r="G163" s="34" t="n">
        <f aca="false">SUM(E163-D163)/D163</f>
        <v>0</v>
      </c>
    </row>
    <row r="164" customFormat="false" ht="14.25" hidden="false" customHeight="false" outlineLevel="2" collapsed="false">
      <c r="A164" s="62" t="s">
        <v>163</v>
      </c>
      <c r="B164" s="20" t="n">
        <v>8000</v>
      </c>
      <c r="C164" s="21" t="n">
        <v>12394.26</v>
      </c>
      <c r="D164" s="20" t="n">
        <v>8000</v>
      </c>
      <c r="E164" s="63" t="n">
        <v>8000</v>
      </c>
      <c r="F164" s="50" t="n">
        <f aca="false">E164-D164</f>
        <v>0</v>
      </c>
      <c r="G164" s="34" t="n">
        <f aca="false">SUM(E164-D164)/D164</f>
        <v>0</v>
      </c>
    </row>
    <row r="165" customFormat="false" ht="14.25" hidden="false" customHeight="false" outlineLevel="2" collapsed="false">
      <c r="A165" s="62" t="s">
        <v>164</v>
      </c>
      <c r="B165" s="20" t="n">
        <v>5200</v>
      </c>
      <c r="C165" s="50" t="n">
        <v>2042.25</v>
      </c>
      <c r="D165" s="20" t="n">
        <v>5200</v>
      </c>
      <c r="E165" s="63" t="n">
        <v>5200</v>
      </c>
      <c r="F165" s="50" t="n">
        <f aca="false">E165-D165</f>
        <v>0</v>
      </c>
      <c r="G165" s="34" t="n">
        <f aca="false">SUM(E165-D165)/D165</f>
        <v>0</v>
      </c>
    </row>
    <row r="166" customFormat="false" ht="14.25" hidden="false" customHeight="false" outlineLevel="2" collapsed="false">
      <c r="A166" s="62" t="s">
        <v>165</v>
      </c>
      <c r="B166" s="20" t="n">
        <v>400</v>
      </c>
      <c r="C166" s="50"/>
      <c r="D166" s="20" t="n">
        <v>500</v>
      </c>
      <c r="E166" s="63" t="n">
        <v>500</v>
      </c>
      <c r="F166" s="50" t="n">
        <f aca="false">E166-D166</f>
        <v>0</v>
      </c>
      <c r="G166" s="34" t="n">
        <f aca="false">SUM(E166-D166)/D166</f>
        <v>0</v>
      </c>
    </row>
    <row r="167" customFormat="false" ht="14.25" hidden="false" customHeight="false" outlineLevel="2" collapsed="false">
      <c r="A167" s="62" t="s">
        <v>166</v>
      </c>
      <c r="B167" s="20" t="n">
        <v>750</v>
      </c>
      <c r="C167" s="50" t="n">
        <v>458</v>
      </c>
      <c r="D167" s="20" t="n">
        <v>750</v>
      </c>
      <c r="E167" s="63" t="n">
        <v>750</v>
      </c>
      <c r="F167" s="50" t="n">
        <f aca="false">E167-D167</f>
        <v>0</v>
      </c>
      <c r="G167" s="34" t="n">
        <f aca="false">SUM(E167-D167)/D167</f>
        <v>0</v>
      </c>
    </row>
    <row r="168" customFormat="false" ht="14.25" hidden="false" customHeight="false" outlineLevel="2" collapsed="false">
      <c r="A168" s="62" t="s">
        <v>167</v>
      </c>
      <c r="B168" s="20" t="n">
        <v>2500</v>
      </c>
      <c r="C168" s="50" t="n">
        <v>1650</v>
      </c>
      <c r="D168" s="20" t="n">
        <v>3000</v>
      </c>
      <c r="E168" s="63" t="n">
        <v>3000</v>
      </c>
      <c r="F168" s="50" t="n">
        <f aca="false">E168-D168</f>
        <v>0</v>
      </c>
      <c r="G168" s="34" t="n">
        <f aca="false">SUM(E168-D168)/D168</f>
        <v>0</v>
      </c>
    </row>
    <row r="169" customFormat="false" ht="14.25" hidden="false" customHeight="false" outlineLevel="2" collapsed="false">
      <c r="A169" s="62" t="s">
        <v>168</v>
      </c>
      <c r="B169" s="20" t="n">
        <v>9000</v>
      </c>
      <c r="C169" s="50" t="n">
        <v>13605.53</v>
      </c>
      <c r="D169" s="20" t="n">
        <v>10000</v>
      </c>
      <c r="E169" s="63" t="n">
        <v>23000</v>
      </c>
      <c r="F169" s="50" t="n">
        <f aca="false">E169-D169</f>
        <v>13000</v>
      </c>
      <c r="G169" s="34" t="n">
        <f aca="false">SUM(E169-D169)/D169</f>
        <v>1.3</v>
      </c>
    </row>
    <row r="170" s="28" customFormat="true" ht="14.25" hidden="false" customHeight="false" outlineLevel="2" collapsed="false">
      <c r="A170" s="47" t="s">
        <v>169</v>
      </c>
      <c r="B170" s="40" t="n">
        <f aca="false">SUM(B162:B169)</f>
        <v>83850</v>
      </c>
      <c r="C170" s="40" t="n">
        <f aca="false">SUM(C162:C169)</f>
        <v>97061.29</v>
      </c>
      <c r="D170" s="40" t="n">
        <f aca="false">SUM(D162:D169)</f>
        <v>90450</v>
      </c>
      <c r="E170" s="40" t="n">
        <f aca="false">SUM(E162:E169)</f>
        <v>104450</v>
      </c>
      <c r="F170" s="40" t="n">
        <f aca="false">E170-D170</f>
        <v>14000</v>
      </c>
      <c r="G170" s="27" t="n">
        <f aca="false">SUM(E170-D170)/D170</f>
        <v>0.154781647318961</v>
      </c>
      <c r="J170" s="29"/>
      <c r="K170" s="29"/>
    </row>
    <row r="171" s="28" customFormat="true" ht="14.25" hidden="false" customHeight="false" outlineLevel="2" collapsed="false">
      <c r="A171" s="51"/>
      <c r="B171" s="67"/>
      <c r="C171" s="67"/>
      <c r="D171" s="67"/>
      <c r="E171" s="67"/>
      <c r="F171" s="67"/>
      <c r="G171" s="53"/>
      <c r="J171" s="29"/>
      <c r="K171" s="29"/>
    </row>
    <row r="172" s="28" customFormat="true" ht="14.25" hidden="false" customHeight="false" outlineLevel="2" collapsed="false">
      <c r="A172" s="68" t="s">
        <v>170</v>
      </c>
      <c r="B172" s="55"/>
      <c r="C172" s="56"/>
      <c r="D172" s="55"/>
      <c r="E172" s="55"/>
      <c r="F172" s="57"/>
      <c r="G172" s="69"/>
      <c r="J172" s="29"/>
      <c r="K172" s="29"/>
    </row>
    <row r="173" s="28" customFormat="true" ht="14.25" hidden="false" customHeight="false" outlineLevel="2" collapsed="false">
      <c r="A173" s="38" t="s">
        <v>171</v>
      </c>
      <c r="B173" s="20" t="n">
        <v>30000</v>
      </c>
      <c r="C173" s="21" t="n">
        <v>26916.75</v>
      </c>
      <c r="D173" s="20" t="n">
        <v>20000</v>
      </c>
      <c r="E173" s="20" t="n">
        <v>30000</v>
      </c>
      <c r="F173" s="50" t="n">
        <f aca="false">E173-D173</f>
        <v>10000</v>
      </c>
      <c r="G173" s="34" t="n">
        <f aca="false">SUM(E173-D173)/D173</f>
        <v>0.5</v>
      </c>
      <c r="H173" s="28" t="s">
        <v>32</v>
      </c>
      <c r="J173" s="29"/>
      <c r="K173" s="29"/>
    </row>
    <row r="174" s="28" customFormat="true" ht="14.25" hidden="false" customHeight="false" outlineLevel="2" collapsed="false">
      <c r="A174" s="38" t="s">
        <v>172</v>
      </c>
      <c r="B174" s="20" t="n">
        <v>0</v>
      </c>
      <c r="C174" s="21"/>
      <c r="D174" s="20" t="n">
        <v>6600</v>
      </c>
      <c r="E174" s="20" t="n">
        <v>4000</v>
      </c>
      <c r="F174" s="50" t="n">
        <f aca="false">E174-D174</f>
        <v>-2600</v>
      </c>
      <c r="G174" s="34" t="n">
        <f aca="false">SUM(E174-D174)/D174</f>
        <v>-0.393939393939394</v>
      </c>
      <c r="J174" s="29"/>
      <c r="K174" s="29"/>
    </row>
    <row r="175" s="28" customFormat="true" ht="14.25" hidden="false" customHeight="false" outlineLevel="2" collapsed="false">
      <c r="A175" s="47" t="s">
        <v>173</v>
      </c>
      <c r="B175" s="40" t="n">
        <f aca="false">SUM(B173:B174)</f>
        <v>30000</v>
      </c>
      <c r="C175" s="40" t="n">
        <f aca="false">SUM(C173:C174)</f>
        <v>26916.75</v>
      </c>
      <c r="D175" s="40" t="n">
        <v>26600</v>
      </c>
      <c r="E175" s="40" t="n">
        <f aca="false">SUM(E173:E174)</f>
        <v>34000</v>
      </c>
      <c r="F175" s="40" t="n">
        <f aca="false">SUM(F173:F174)</f>
        <v>7400</v>
      </c>
      <c r="G175" s="41" t="n">
        <f aca="false">SUM(E175-D175)/D175</f>
        <v>0.278195488721805</v>
      </c>
      <c r="J175" s="29"/>
      <c r="K175" s="29"/>
    </row>
    <row r="176" s="28" customFormat="true" ht="14.25" hidden="false" customHeight="false" outlineLevel="2" collapsed="false">
      <c r="A176" s="51"/>
      <c r="B176" s="49"/>
      <c r="C176" s="49"/>
      <c r="D176" s="49"/>
      <c r="E176" s="49"/>
      <c r="F176" s="49"/>
      <c r="G176" s="34"/>
      <c r="J176" s="29"/>
      <c r="K176" s="29"/>
    </row>
    <row r="177" customFormat="false" ht="14.25" hidden="false" customHeight="false" outlineLevel="2" collapsed="false">
      <c r="A177" s="54" t="s">
        <v>174</v>
      </c>
      <c r="B177" s="55"/>
      <c r="C177" s="56"/>
      <c r="D177" s="55"/>
      <c r="E177" s="55"/>
      <c r="F177" s="57"/>
      <c r="G177" s="58"/>
    </row>
    <row r="178" customFormat="false" ht="14.25" hidden="false" customHeight="false" outlineLevel="2" collapsed="false">
      <c r="A178" s="62" t="s">
        <v>175</v>
      </c>
      <c r="B178" s="20" t="n">
        <v>2000</v>
      </c>
      <c r="C178" s="21" t="n">
        <v>4041.18</v>
      </c>
      <c r="D178" s="20" t="n">
        <v>2500</v>
      </c>
      <c r="E178" s="63" t="n">
        <v>3000</v>
      </c>
      <c r="F178" s="50" t="n">
        <f aca="false">E178-D178</f>
        <v>500</v>
      </c>
      <c r="G178" s="34" t="n">
        <f aca="false">SUM(E178-D178)/D178</f>
        <v>0.2</v>
      </c>
    </row>
    <row r="179" customFormat="false" ht="14.25" hidden="false" customHeight="false" outlineLevel="2" collapsed="false">
      <c r="A179" s="62" t="s">
        <v>176</v>
      </c>
      <c r="B179" s="20" t="n">
        <v>2000</v>
      </c>
      <c r="C179" s="50" t="n">
        <v>2490.06</v>
      </c>
      <c r="D179" s="20" t="n">
        <v>2700</v>
      </c>
      <c r="E179" s="63" t="n">
        <v>2700</v>
      </c>
      <c r="F179" s="50" t="n">
        <f aca="false">E179-D179</f>
        <v>0</v>
      </c>
      <c r="G179" s="34" t="n">
        <f aca="false">SUM(E179-D179)/D179</f>
        <v>0</v>
      </c>
    </row>
    <row r="180" customFormat="false" ht="14.25" hidden="false" customHeight="false" outlineLevel="2" collapsed="false">
      <c r="A180" s="62" t="s">
        <v>177</v>
      </c>
      <c r="B180" s="20" t="n">
        <v>775</v>
      </c>
      <c r="C180" s="50" t="n">
        <v>888.03</v>
      </c>
      <c r="D180" s="20" t="n">
        <v>775</v>
      </c>
      <c r="E180" s="63" t="n">
        <v>1000</v>
      </c>
      <c r="F180" s="50" t="n">
        <f aca="false">E180-D180</f>
        <v>225</v>
      </c>
      <c r="G180" s="34" t="n">
        <f aca="false">SUM(E180-D180)/D180</f>
        <v>0.290322580645161</v>
      </c>
    </row>
    <row r="181" customFormat="false" ht="14.25" hidden="false" customHeight="false" outlineLevel="2" collapsed="false">
      <c r="A181" s="62" t="s">
        <v>178</v>
      </c>
      <c r="B181" s="20" t="n">
        <v>0</v>
      </c>
      <c r="C181" s="50"/>
      <c r="D181" s="20" t="n">
        <v>0</v>
      </c>
      <c r="E181" s="63"/>
      <c r="F181" s="50" t="n">
        <f aca="false">E181-D181</f>
        <v>0</v>
      </c>
      <c r="G181" s="34" t="n">
        <v>0</v>
      </c>
    </row>
    <row r="182" customFormat="false" ht="14.25" hidden="false" customHeight="false" outlineLevel="2" collapsed="false">
      <c r="A182" s="62" t="s">
        <v>179</v>
      </c>
      <c r="B182" s="20" t="n">
        <v>500</v>
      </c>
      <c r="C182" s="50" t="n">
        <v>0</v>
      </c>
      <c r="D182" s="20" t="n">
        <v>500</v>
      </c>
      <c r="E182" s="63" t="n">
        <v>500</v>
      </c>
      <c r="F182" s="50" t="n">
        <f aca="false">E182-D182</f>
        <v>0</v>
      </c>
      <c r="G182" s="34" t="n">
        <f aca="false">SUM(E182-D182)/D182</f>
        <v>0</v>
      </c>
    </row>
    <row r="183" customFormat="false" ht="14.25" hidden="false" customHeight="false" outlineLevel="2" collapsed="false">
      <c r="A183" s="62" t="s">
        <v>180</v>
      </c>
      <c r="B183" s="20" t="n">
        <v>500</v>
      </c>
      <c r="C183" s="50" t="n">
        <v>0</v>
      </c>
      <c r="D183" s="20" t="n">
        <v>500</v>
      </c>
      <c r="E183" s="63" t="n">
        <v>500</v>
      </c>
      <c r="F183" s="50" t="n">
        <f aca="false">E183-D183</f>
        <v>0</v>
      </c>
      <c r="G183" s="34" t="n">
        <f aca="false">SUM(E183-D183)/D183</f>
        <v>0</v>
      </c>
    </row>
    <row r="184" customFormat="false" ht="14.25" hidden="false" customHeight="false" outlineLevel="2" collapsed="false">
      <c r="A184" s="62" t="s">
        <v>181</v>
      </c>
      <c r="B184" s="20" t="n">
        <v>500</v>
      </c>
      <c r="C184" s="50" t="n">
        <v>85.07</v>
      </c>
      <c r="D184" s="20" t="n">
        <v>500</v>
      </c>
      <c r="E184" s="63" t="n">
        <v>500</v>
      </c>
      <c r="F184" s="50" t="n">
        <f aca="false">E184-D184</f>
        <v>0</v>
      </c>
      <c r="G184" s="34" t="n">
        <f aca="false">SUM(E184-D184)/D184</f>
        <v>0</v>
      </c>
    </row>
    <row r="185" customFormat="false" ht="14.25" hidden="false" customHeight="false" outlineLevel="2" collapsed="false">
      <c r="A185" s="62" t="s">
        <v>182</v>
      </c>
      <c r="B185" s="20" t="n">
        <v>1500</v>
      </c>
      <c r="C185" s="21" t="n">
        <v>428.17</v>
      </c>
      <c r="D185" s="20" t="n">
        <v>1500</v>
      </c>
      <c r="E185" s="63" t="n">
        <v>1500</v>
      </c>
      <c r="F185" s="50" t="n">
        <f aca="false">E185-D185</f>
        <v>0</v>
      </c>
      <c r="G185" s="34" t="n">
        <f aca="false">SUM(E185-D185)/D185</f>
        <v>0</v>
      </c>
    </row>
    <row r="186" customFormat="false" ht="14.25" hidden="false" customHeight="false" outlineLevel="2" collapsed="false">
      <c r="A186" s="62" t="s">
        <v>183</v>
      </c>
      <c r="B186" s="20"/>
      <c r="C186" s="50" t="n">
        <v>460</v>
      </c>
      <c r="D186" s="20"/>
      <c r="E186" s="70"/>
      <c r="F186" s="50" t="n">
        <f aca="false">E186-D186</f>
        <v>0</v>
      </c>
      <c r="G186" s="34" t="n">
        <v>0</v>
      </c>
    </row>
    <row r="187" s="28" customFormat="true" ht="14.25" hidden="false" customHeight="false" outlineLevel="2" collapsed="false">
      <c r="A187" s="47" t="s">
        <v>184</v>
      </c>
      <c r="B187" s="40" t="n">
        <f aca="false">SUM(B178:B186)</f>
        <v>7775</v>
      </c>
      <c r="C187" s="40" t="n">
        <f aca="false">SUM(C178:C186)</f>
        <v>8392.51</v>
      </c>
      <c r="D187" s="40" t="n">
        <f aca="false">SUM(D178:D186)</f>
        <v>8975</v>
      </c>
      <c r="E187" s="40" t="n">
        <f aca="false">SUM(E178:E186)</f>
        <v>9700</v>
      </c>
      <c r="F187" s="40" t="n">
        <f aca="false">E187-D187</f>
        <v>725</v>
      </c>
      <c r="G187" s="27" t="n">
        <f aca="false">SUM(E187-D187)/D187</f>
        <v>0.0807799442896936</v>
      </c>
      <c r="J187" s="29"/>
      <c r="K187" s="29"/>
    </row>
    <row r="188" s="28" customFormat="true" ht="14.25" hidden="false" customHeight="false" outlineLevel="2" collapsed="false">
      <c r="A188" s="51"/>
      <c r="B188" s="67"/>
      <c r="C188" s="67"/>
      <c r="D188" s="67"/>
      <c r="E188" s="67"/>
      <c r="F188" s="67"/>
      <c r="G188" s="53"/>
      <c r="J188" s="29"/>
      <c r="K188" s="29"/>
    </row>
    <row r="189" customFormat="false" ht="14.25" hidden="false" customHeight="false" outlineLevel="2" collapsed="false">
      <c r="A189" s="54" t="s">
        <v>185</v>
      </c>
      <c r="B189" s="55"/>
      <c r="C189" s="56"/>
      <c r="D189" s="55"/>
      <c r="E189" s="55"/>
      <c r="F189" s="57"/>
      <c r="G189" s="58"/>
    </row>
    <row r="190" customFormat="false" ht="14.25" hidden="false" customHeight="false" outlineLevel="2" collapsed="false">
      <c r="A190" s="62" t="s">
        <v>186</v>
      </c>
      <c r="B190" s="20" t="n">
        <v>4000</v>
      </c>
      <c r="C190" s="21" t="n">
        <v>2737.87</v>
      </c>
      <c r="D190" s="20" t="n">
        <v>4000</v>
      </c>
      <c r="E190" s="63" t="n">
        <v>3500</v>
      </c>
      <c r="F190" s="50" t="n">
        <f aca="false">E190-D190</f>
        <v>-500</v>
      </c>
      <c r="G190" s="34" t="n">
        <f aca="false">SUM(E190-D190)/D190</f>
        <v>-0.125</v>
      </c>
    </row>
    <row r="191" customFormat="false" ht="14.25" hidden="false" customHeight="false" outlineLevel="2" collapsed="false">
      <c r="A191" s="62" t="s">
        <v>89</v>
      </c>
      <c r="B191" s="20" t="n">
        <v>6500</v>
      </c>
      <c r="C191" s="21" t="n">
        <v>10088.73</v>
      </c>
      <c r="D191" s="20" t="n">
        <v>6500</v>
      </c>
      <c r="E191" s="63" t="n">
        <v>7500</v>
      </c>
      <c r="F191" s="50" t="n">
        <f aca="false">E191-D191</f>
        <v>1000</v>
      </c>
      <c r="G191" s="34" t="n">
        <f aca="false">SUM(E191-D191)/D191</f>
        <v>0.153846153846154</v>
      </c>
    </row>
    <row r="192" customFormat="false" ht="14.25" hidden="false" customHeight="false" outlineLevel="2" collapsed="false">
      <c r="A192" s="62" t="s">
        <v>187</v>
      </c>
      <c r="B192" s="20" t="n">
        <v>1000</v>
      </c>
      <c r="C192" s="50" t="n">
        <v>1373.21</v>
      </c>
      <c r="D192" s="20" t="n">
        <v>1500</v>
      </c>
      <c r="E192" s="63" t="n">
        <v>1500</v>
      </c>
      <c r="F192" s="50" t="n">
        <f aca="false">E192-D192</f>
        <v>0</v>
      </c>
      <c r="G192" s="34" t="n">
        <f aca="false">SUM(E192-D192)/D192</f>
        <v>0</v>
      </c>
    </row>
    <row r="193" s="28" customFormat="true" ht="14.25" hidden="false" customHeight="false" outlineLevel="2" collapsed="false">
      <c r="A193" s="47" t="s">
        <v>188</v>
      </c>
      <c r="B193" s="40" t="n">
        <f aca="false">SUM(B190:B192)</f>
        <v>11500</v>
      </c>
      <c r="C193" s="40" t="n">
        <f aca="false">SUM(C190:C192)</f>
        <v>14199.81</v>
      </c>
      <c r="D193" s="40" t="n">
        <f aca="false">SUM(D190:D192)</f>
        <v>12000</v>
      </c>
      <c r="E193" s="40" t="n">
        <f aca="false">SUM(E190:E192)</f>
        <v>12500</v>
      </c>
      <c r="F193" s="40" t="n">
        <f aca="false">E193-D193</f>
        <v>500</v>
      </c>
      <c r="G193" s="27" t="n">
        <f aca="false">SUM(E193-D193)/D193</f>
        <v>0.0416666666666667</v>
      </c>
      <c r="J193" s="29"/>
      <c r="K193" s="29"/>
    </row>
    <row r="194" s="28" customFormat="true" ht="14.25" hidden="false" customHeight="false" outlineLevel="2" collapsed="false">
      <c r="A194" s="51"/>
      <c r="B194" s="31"/>
      <c r="C194" s="32"/>
      <c r="D194" s="31"/>
      <c r="E194" s="31"/>
      <c r="F194" s="33"/>
      <c r="G194" s="53"/>
      <c r="J194" s="29"/>
      <c r="K194" s="29"/>
    </row>
    <row r="195" customFormat="false" ht="14.25" hidden="false" customHeight="false" outlineLevel="2" collapsed="false">
      <c r="A195" s="54" t="s">
        <v>189</v>
      </c>
      <c r="B195" s="55"/>
      <c r="C195" s="56"/>
      <c r="D195" s="55"/>
      <c r="E195" s="55"/>
      <c r="F195" s="57"/>
      <c r="G195" s="58"/>
    </row>
    <row r="196" customFormat="false" ht="14.25" hidden="false" customHeight="false" outlineLevel="2" collapsed="false">
      <c r="A196" s="62" t="s">
        <v>190</v>
      </c>
      <c r="B196" s="20" t="n">
        <v>6000</v>
      </c>
      <c r="C196" s="21" t="n">
        <v>5333.21</v>
      </c>
      <c r="D196" s="20" t="n">
        <v>6000</v>
      </c>
      <c r="E196" s="63" t="n">
        <v>6000</v>
      </c>
      <c r="F196" s="50" t="n">
        <f aca="false">E196-D196</f>
        <v>0</v>
      </c>
      <c r="G196" s="34" t="n">
        <f aca="false">SUM(E196-D196)/D196</f>
        <v>0</v>
      </c>
    </row>
    <row r="197" customFormat="false" ht="14.25" hidden="false" customHeight="false" outlineLevel="2" collapsed="false">
      <c r="A197" s="62" t="s">
        <v>191</v>
      </c>
      <c r="B197" s="20" t="n">
        <v>60000</v>
      </c>
      <c r="C197" s="50" t="n">
        <v>39704.75</v>
      </c>
      <c r="D197" s="20" t="n">
        <v>60000</v>
      </c>
      <c r="E197" s="63" t="n">
        <v>60000</v>
      </c>
      <c r="F197" s="50" t="n">
        <f aca="false">E197-D197</f>
        <v>0</v>
      </c>
      <c r="G197" s="34" t="n">
        <f aca="false">SUM(E197-D197)/D197</f>
        <v>0</v>
      </c>
    </row>
    <row r="198" customFormat="false" ht="14.25" hidden="false" customHeight="false" outlineLevel="2" collapsed="false">
      <c r="A198" s="47" t="s">
        <v>192</v>
      </c>
      <c r="B198" s="40" t="n">
        <f aca="false">SUM(B195:B197)</f>
        <v>66000</v>
      </c>
      <c r="C198" s="40" t="n">
        <f aca="false">SUM(C195:C197)</f>
        <v>45037.96</v>
      </c>
      <c r="D198" s="40" t="n">
        <f aca="false">SUM(D196:D197)</f>
        <v>66000</v>
      </c>
      <c r="E198" s="40" t="n">
        <f aca="false">SUM(E196:E197)</f>
        <v>66000</v>
      </c>
      <c r="F198" s="40" t="n">
        <f aca="false">E198-D198</f>
        <v>0</v>
      </c>
      <c r="G198" s="27" t="n">
        <f aca="false">SUM(E198-D198)/D198</f>
        <v>0</v>
      </c>
    </row>
    <row r="199" customFormat="false" ht="14.25" hidden="false" customHeight="false" outlineLevel="2" collapsed="false">
      <c r="A199" s="51"/>
      <c r="B199" s="20"/>
      <c r="C199" s="21"/>
      <c r="D199" s="20"/>
      <c r="E199" s="20"/>
      <c r="F199" s="50"/>
      <c r="G199" s="53"/>
    </row>
    <row r="200" customFormat="false" ht="14.25" hidden="false" customHeight="false" outlineLevel="2" collapsed="false">
      <c r="A200" s="54" t="s">
        <v>193</v>
      </c>
      <c r="B200" s="71"/>
      <c r="C200" s="72"/>
      <c r="D200" s="71"/>
      <c r="E200" s="71"/>
      <c r="F200" s="72"/>
      <c r="G200" s="58"/>
    </row>
    <row r="201" customFormat="false" ht="14.25" hidden="false" customHeight="false" outlineLevel="2" collapsed="false">
      <c r="A201" s="62" t="s">
        <v>194</v>
      </c>
      <c r="B201" s="20" t="n">
        <v>277226</v>
      </c>
      <c r="C201" s="50" t="n">
        <v>262262.3</v>
      </c>
      <c r="D201" s="20" t="n">
        <v>288000.96</v>
      </c>
      <c r="E201" s="63" t="n">
        <f aca="false">'Salaries 3%'!H49</f>
        <v>296635.9315</v>
      </c>
      <c r="F201" s="50" t="n">
        <f aca="false">E201-D201</f>
        <v>8634.97150000004</v>
      </c>
      <c r="G201" s="34" t="n">
        <f aca="false">SUM(E201-D201)/D201</f>
        <v>0.0299824399890891</v>
      </c>
    </row>
    <row r="202" customFormat="false" ht="14.25" hidden="false" customHeight="false" outlineLevel="2" collapsed="false">
      <c r="A202" s="62" t="s">
        <v>195</v>
      </c>
      <c r="B202" s="20"/>
      <c r="C202" s="50"/>
      <c r="D202" s="20"/>
      <c r="E202" s="63" t="n">
        <f aca="false">'Salaries 3%'!H50</f>
        <v>9360</v>
      </c>
      <c r="F202" s="50"/>
      <c r="G202" s="34" t="s">
        <v>16</v>
      </c>
    </row>
    <row r="203" customFormat="false" ht="14.25" hidden="false" customHeight="false" outlineLevel="2" collapsed="false">
      <c r="A203" s="62" t="s">
        <v>196</v>
      </c>
      <c r="B203" s="20" t="n">
        <v>22428</v>
      </c>
      <c r="C203" s="50" t="n">
        <f aca="false">20008.5+1109.63</f>
        <v>21118.13</v>
      </c>
      <c r="D203" s="20" t="n">
        <v>23299.277664</v>
      </c>
      <c r="E203" s="63" t="n">
        <f aca="false">'Salaries 3%'!I51</f>
        <v>23408.68875975</v>
      </c>
      <c r="F203" s="50" t="n">
        <f aca="false">E203-D203</f>
        <v>109.411095750002</v>
      </c>
      <c r="G203" s="34" t="n">
        <f aca="false">SUM(E203-D203)/D203</f>
        <v>0.00469590076258261</v>
      </c>
    </row>
    <row r="204" customFormat="false" ht="14.25" hidden="false" customHeight="false" outlineLevel="2" collapsed="false">
      <c r="A204" s="62" t="s">
        <v>197</v>
      </c>
      <c r="B204" s="20"/>
      <c r="C204" s="50"/>
      <c r="D204" s="20"/>
      <c r="E204" s="63" t="n">
        <f aca="false">'Salaries 3%'!J51</f>
        <v>1346.3820986</v>
      </c>
      <c r="F204" s="50"/>
      <c r="G204" s="34" t="n">
        <v>1</v>
      </c>
    </row>
    <row r="205" customFormat="false" ht="14.25" hidden="false" customHeight="false" outlineLevel="2" collapsed="false">
      <c r="A205" s="62" t="s">
        <v>198</v>
      </c>
      <c r="B205" s="20" t="n">
        <v>280</v>
      </c>
      <c r="C205" s="50" t="n">
        <v>315.43</v>
      </c>
      <c r="D205" s="20" t="n">
        <v>290.08</v>
      </c>
      <c r="E205" s="20" t="n">
        <f aca="false">'Salaries 3%'!L51</f>
        <v>624.24</v>
      </c>
      <c r="F205" s="50" t="n">
        <f aca="false">E205-D205</f>
        <v>334.16</v>
      </c>
      <c r="G205" s="34" t="n">
        <f aca="false">SUM(E205-D205)/D205</f>
        <v>1.15195808052951</v>
      </c>
    </row>
    <row r="206" customFormat="false" ht="14.25" hidden="false" customHeight="false" outlineLevel="2" collapsed="false">
      <c r="A206" s="62" t="s">
        <v>199</v>
      </c>
      <c r="B206" s="20" t="n">
        <v>19406</v>
      </c>
      <c r="C206" s="50" t="n">
        <v>18308.39</v>
      </c>
      <c r="D206" s="20" t="n">
        <v>20880.0696</v>
      </c>
      <c r="E206" s="63" t="n">
        <f aca="false">'Salaries 3%'!K51</f>
        <v>22247.6948625</v>
      </c>
      <c r="F206" s="50" t="n">
        <f aca="false">E206-D206</f>
        <v>1367.62526250001</v>
      </c>
      <c r="G206" s="34" t="n">
        <f aca="false">SUM(E206-D206)/D206</f>
        <v>0.0654990758507819</v>
      </c>
    </row>
    <row r="207" customFormat="false" ht="14.25" hidden="false" customHeight="false" outlineLevel="2" collapsed="false">
      <c r="A207" s="62" t="s">
        <v>200</v>
      </c>
      <c r="B207" s="20" t="n">
        <v>1620</v>
      </c>
      <c r="C207" s="50" t="n">
        <v>1324.83</v>
      </c>
      <c r="D207" s="20" t="n">
        <v>1620</v>
      </c>
      <c r="E207" s="20" t="n">
        <f aca="false">'Salaries 3%'!N51</f>
        <v>1692</v>
      </c>
      <c r="F207" s="50" t="n">
        <f aca="false">E207-D207</f>
        <v>72</v>
      </c>
      <c r="G207" s="34" t="n">
        <f aca="false">SUM(E207-D207)/D207</f>
        <v>0.0444444444444444</v>
      </c>
    </row>
    <row r="208" customFormat="false" ht="14.25" hidden="false" customHeight="false" outlineLevel="2" collapsed="false">
      <c r="A208" s="62" t="s">
        <v>201</v>
      </c>
      <c r="B208" s="20" t="n">
        <v>60148</v>
      </c>
      <c r="C208" s="50" t="n">
        <v>60087.28</v>
      </c>
      <c r="D208" s="20" t="n">
        <v>85580.928</v>
      </c>
      <c r="E208" s="63" t="n">
        <f aca="false">'Health Insurance'!J12+'Health Insurance'!K12+'Health Insurance'!L12+'Health Insurance'!M12-E209</f>
        <v>93440.208</v>
      </c>
      <c r="F208" s="50" t="n">
        <f aca="false">E208-D208</f>
        <v>7859.28000000001</v>
      </c>
      <c r="G208" s="34" t="n">
        <f aca="false">SUM(E208-D208)/D208</f>
        <v>0.0918344797569853</v>
      </c>
    </row>
    <row r="209" customFormat="false" ht="14.25" hidden="false" customHeight="false" outlineLevel="2" collapsed="false">
      <c r="A209" s="62" t="s">
        <v>202</v>
      </c>
      <c r="B209" s="20"/>
      <c r="C209" s="50"/>
      <c r="D209" s="20"/>
      <c r="E209" s="63" t="n">
        <f aca="false">'Health Insurance'!J6+'Health Insurance'!J7+'Health Insurance'!K6+'Health Insurance'!K7+'Health Insurance'!L6+'Health Insurance'!L7+'Health Insurance'!M6+'Health Insurance'!M7</f>
        <v>3150</v>
      </c>
      <c r="F209" s="50"/>
      <c r="G209" s="34" t="s">
        <v>16</v>
      </c>
    </row>
    <row r="210" customFormat="false" ht="14.25" hidden="false" customHeight="false" outlineLevel="2" collapsed="false">
      <c r="A210" s="62" t="s">
        <v>203</v>
      </c>
      <c r="B210" s="20" t="n">
        <v>5000</v>
      </c>
      <c r="C210" s="21" t="n">
        <v>4504.08</v>
      </c>
      <c r="D210" s="20" t="n">
        <v>5000</v>
      </c>
      <c r="E210" s="63" t="n">
        <v>5000</v>
      </c>
      <c r="F210" s="50" t="n">
        <f aca="false">E210-D210</f>
        <v>0</v>
      </c>
      <c r="G210" s="34" t="n">
        <f aca="false">SUM(E210-D210)/D210</f>
        <v>0</v>
      </c>
    </row>
    <row r="211" customFormat="false" ht="14.25" hidden="false" customHeight="false" outlineLevel="2" collapsed="false">
      <c r="A211" s="62" t="s">
        <v>204</v>
      </c>
      <c r="B211" s="20" t="n">
        <v>13300</v>
      </c>
      <c r="C211" s="50" t="n">
        <v>13564.34</v>
      </c>
      <c r="D211" s="20" t="n">
        <v>11800</v>
      </c>
      <c r="E211" s="63" t="n">
        <v>9915.8</v>
      </c>
      <c r="F211" s="50" t="n">
        <f aca="false">E211-D211</f>
        <v>-1884.2</v>
      </c>
      <c r="G211" s="34" t="n">
        <f aca="false">SUM(E211-D211)/D211</f>
        <v>-0.159677966101695</v>
      </c>
    </row>
    <row r="212" customFormat="false" ht="14.25" hidden="false" customHeight="false" outlineLevel="2" collapsed="false">
      <c r="A212" s="62" t="s">
        <v>205</v>
      </c>
      <c r="B212" s="20" t="n">
        <v>19855</v>
      </c>
      <c r="C212" s="50" t="n">
        <v>31886.06</v>
      </c>
      <c r="D212" s="20" t="n">
        <v>21312.07104</v>
      </c>
      <c r="E212" s="63" t="n">
        <f aca="false">'Salaries 3%'!P51</f>
        <v>22643.698931</v>
      </c>
      <c r="F212" s="50" t="n">
        <f aca="false">E212-D212</f>
        <v>1331.627891</v>
      </c>
      <c r="G212" s="34" t="n">
        <f aca="false">SUM(E212-D212)/D212</f>
        <v>0.0624823316561165</v>
      </c>
    </row>
    <row r="213" customFormat="false" ht="14.25" hidden="false" customHeight="false" outlineLevel="2" collapsed="false">
      <c r="A213" s="62" t="s">
        <v>206</v>
      </c>
      <c r="B213" s="20" t="n">
        <v>500</v>
      </c>
      <c r="C213" s="50" t="n">
        <v>479.72</v>
      </c>
      <c r="D213" s="20" t="n">
        <v>500</v>
      </c>
      <c r="E213" s="63" t="n">
        <v>500</v>
      </c>
      <c r="F213" s="50" t="n">
        <f aca="false">E213-D213</f>
        <v>0</v>
      </c>
      <c r="G213" s="34" t="n">
        <f aca="false">SUM(E213-D213)/D213</f>
        <v>0</v>
      </c>
    </row>
    <row r="214" customFormat="false" ht="14.25" hidden="false" customHeight="false" outlineLevel="2" collapsed="false">
      <c r="A214" s="62" t="s">
        <v>122</v>
      </c>
      <c r="B214" s="20" t="n">
        <v>300</v>
      </c>
      <c r="C214" s="50" t="n">
        <v>40</v>
      </c>
      <c r="D214" s="20" t="n">
        <v>300</v>
      </c>
      <c r="E214" s="63" t="n">
        <v>0</v>
      </c>
      <c r="F214" s="50" t="n">
        <f aca="false">E214-D214</f>
        <v>-300</v>
      </c>
      <c r="G214" s="34" t="n">
        <f aca="false">SUM(E214-D214)/D214</f>
        <v>-1</v>
      </c>
    </row>
    <row r="215" s="28" customFormat="true" ht="16.5" hidden="false" customHeight="true" outlineLevel="2" collapsed="false">
      <c r="A215" s="47" t="s">
        <v>207</v>
      </c>
      <c r="B215" s="40" t="n">
        <f aca="false">SUM(B201:B214)</f>
        <v>420063</v>
      </c>
      <c r="C215" s="40" t="n">
        <f aca="false">SUM(C201:C214)</f>
        <v>413890.56</v>
      </c>
      <c r="D215" s="40" t="n">
        <f aca="false">SUM(D201:D214)</f>
        <v>458583.386304</v>
      </c>
      <c r="E215" s="40" t="n">
        <f aca="false">SUM(E201:E214)</f>
        <v>489964.64415185</v>
      </c>
      <c r="F215" s="40" t="n">
        <f aca="false">SUM(F201:F214)</f>
        <v>17524.8757492501</v>
      </c>
      <c r="G215" s="27" t="n">
        <f aca="false">SUM(E215-D215)/D215</f>
        <v>0.0684308651056256</v>
      </c>
      <c r="J215" s="29"/>
      <c r="K215" s="29"/>
    </row>
    <row r="216" s="28" customFormat="true" ht="16.5" hidden="false" customHeight="true" outlineLevel="2" collapsed="false">
      <c r="A216" s="51"/>
      <c r="B216" s="31"/>
      <c r="C216" s="32"/>
      <c r="D216" s="31"/>
      <c r="E216" s="31"/>
      <c r="F216" s="33"/>
      <c r="G216" s="53"/>
      <c r="J216" s="29"/>
      <c r="K216" s="29"/>
    </row>
    <row r="217" s="28" customFormat="true" ht="14.25" hidden="false" customHeight="false" outlineLevel="2" collapsed="false">
      <c r="A217" s="54" t="s">
        <v>208</v>
      </c>
      <c r="B217" s="73"/>
      <c r="C217" s="74"/>
      <c r="D217" s="73"/>
      <c r="E217" s="73"/>
      <c r="F217" s="57"/>
      <c r="G217" s="58"/>
      <c r="J217" s="29"/>
      <c r="K217" s="29"/>
    </row>
    <row r="218" customFormat="false" ht="14.25" hidden="false" customHeight="false" outlineLevel="2" collapsed="false">
      <c r="A218" s="38" t="s">
        <v>209</v>
      </c>
      <c r="B218" s="20" t="n">
        <v>9000</v>
      </c>
      <c r="C218" s="21" t="n">
        <v>11321.64</v>
      </c>
      <c r="D218" s="20" t="n">
        <v>14000</v>
      </c>
      <c r="E218" s="20" t="n">
        <v>14000</v>
      </c>
      <c r="F218" s="50" t="n">
        <f aca="false">E218-D218</f>
        <v>0</v>
      </c>
      <c r="G218" s="34" t="n">
        <f aca="false">SUM(E218-D218)/D218</f>
        <v>0</v>
      </c>
    </row>
    <row r="219" customFormat="false" ht="14.25" hidden="false" customHeight="false" outlineLevel="2" collapsed="false">
      <c r="A219" s="38" t="s">
        <v>210</v>
      </c>
      <c r="B219" s="20" t="n">
        <v>4000</v>
      </c>
      <c r="C219" s="21" t="n">
        <v>560.22</v>
      </c>
      <c r="D219" s="20" t="n">
        <v>7000</v>
      </c>
      <c r="E219" s="20" t="n">
        <v>4000</v>
      </c>
      <c r="F219" s="50" t="n">
        <f aca="false">E219-D219</f>
        <v>-3000</v>
      </c>
      <c r="G219" s="34" t="n">
        <f aca="false">SUM(E219-D219)/D219</f>
        <v>-0.428571428571429</v>
      </c>
    </row>
    <row r="220" customFormat="false" ht="14.25" hidden="false" customHeight="false" outlineLevel="2" collapsed="false">
      <c r="A220" s="38" t="s">
        <v>211</v>
      </c>
      <c r="B220" s="20" t="n">
        <v>5000</v>
      </c>
      <c r="C220" s="21" t="n">
        <v>0</v>
      </c>
      <c r="D220" s="20" t="n">
        <v>5000</v>
      </c>
      <c r="E220" s="20" t="n">
        <v>12000</v>
      </c>
      <c r="F220" s="50" t="n">
        <f aca="false">E220-D220</f>
        <v>7000</v>
      </c>
      <c r="G220" s="34" t="n">
        <f aca="false">SUM(E220-D220)/D220</f>
        <v>1.4</v>
      </c>
    </row>
    <row r="221" customFormat="false" ht="14.25" hidden="false" customHeight="false" outlineLevel="2" collapsed="false">
      <c r="A221" s="38" t="s">
        <v>212</v>
      </c>
      <c r="B221" s="20" t="n">
        <v>1500</v>
      </c>
      <c r="C221" s="21" t="n">
        <v>0</v>
      </c>
      <c r="D221" s="20" t="n">
        <v>1500</v>
      </c>
      <c r="E221" s="20" t="n">
        <v>1500</v>
      </c>
      <c r="F221" s="50" t="n">
        <f aca="false">E221-D221</f>
        <v>0</v>
      </c>
      <c r="G221" s="34" t="n">
        <f aca="false">SUM(E221-D221)/D221</f>
        <v>0</v>
      </c>
    </row>
    <row r="222" customFormat="false" ht="14.25" hidden="false" customHeight="false" outlineLevel="2" collapsed="false">
      <c r="A222" s="43" t="s">
        <v>213</v>
      </c>
      <c r="B222" s="20" t="n">
        <v>0</v>
      </c>
      <c r="C222" s="21"/>
      <c r="D222" s="20" t="n">
        <v>50000</v>
      </c>
      <c r="E222" s="20" t="n">
        <v>25000</v>
      </c>
      <c r="F222" s="50" t="n">
        <f aca="false">E222-D222</f>
        <v>-25000</v>
      </c>
      <c r="G222" s="34" t="n">
        <f aca="false">SUM(E222-D222)/D222</f>
        <v>-0.5</v>
      </c>
    </row>
    <row r="223" s="28" customFormat="true" ht="14.25" hidden="false" customHeight="false" outlineLevel="2" collapsed="false">
      <c r="A223" s="47" t="s">
        <v>214</v>
      </c>
      <c r="B223" s="40" t="n">
        <f aca="false">SUM(B218:B222)</f>
        <v>19500</v>
      </c>
      <c r="C223" s="40" t="n">
        <f aca="false">SUM(C218:C222)</f>
        <v>11881.86</v>
      </c>
      <c r="D223" s="40" t="n">
        <v>77500</v>
      </c>
      <c r="E223" s="40" t="n">
        <f aca="false">SUM(E218:E222)</f>
        <v>56500</v>
      </c>
      <c r="F223" s="40" t="n">
        <f aca="false">E223-D223</f>
        <v>-21000</v>
      </c>
      <c r="G223" s="27" t="n">
        <f aca="false">SUM(E223-D223)/D223</f>
        <v>-0.270967741935484</v>
      </c>
      <c r="H223" s="52"/>
      <c r="J223" s="29"/>
      <c r="K223" s="29"/>
    </row>
    <row r="224" customFormat="false" ht="14.25" hidden="false" customHeight="false" outlineLevel="2" collapsed="false">
      <c r="A224" s="30"/>
      <c r="B224" s="75"/>
      <c r="C224" s="76"/>
      <c r="D224" s="75"/>
      <c r="E224" s="75"/>
      <c r="F224" s="33"/>
      <c r="G224" s="34"/>
    </row>
    <row r="225" customFormat="false" ht="14.25" hidden="false" customHeight="false" outlineLevel="2" collapsed="false">
      <c r="A225" s="54" t="s">
        <v>215</v>
      </c>
      <c r="B225" s="77"/>
      <c r="C225" s="56"/>
      <c r="D225" s="77"/>
      <c r="E225" s="77"/>
      <c r="F225" s="78"/>
      <c r="G225" s="58"/>
    </row>
    <row r="226" s="28" customFormat="true" ht="14.25" hidden="false" customHeight="false" outlineLevel="2" collapsed="false">
      <c r="A226" s="38" t="s">
        <v>216</v>
      </c>
      <c r="B226" s="20" t="n">
        <v>10000</v>
      </c>
      <c r="C226" s="21" t="n">
        <v>0</v>
      </c>
      <c r="D226" s="20" t="n">
        <v>0</v>
      </c>
      <c r="E226" s="20" t="n">
        <v>0</v>
      </c>
      <c r="F226" s="21" t="n">
        <f aca="false">E226-D226</f>
        <v>0</v>
      </c>
      <c r="G226" s="22" t="n">
        <v>0</v>
      </c>
      <c r="J226" s="29"/>
      <c r="K226" s="29"/>
    </row>
    <row r="227" s="28" customFormat="true" ht="14.25" hidden="false" customHeight="false" outlineLevel="2" collapsed="false">
      <c r="A227" s="38" t="s">
        <v>217</v>
      </c>
      <c r="B227" s="20" t="n">
        <v>10000</v>
      </c>
      <c r="C227" s="21" t="n">
        <v>3770.39</v>
      </c>
      <c r="D227" s="20" t="n">
        <v>10000</v>
      </c>
      <c r="E227" s="20" t="n">
        <v>15000</v>
      </c>
      <c r="F227" s="21" t="n">
        <f aca="false">E227-D227</f>
        <v>5000</v>
      </c>
      <c r="G227" s="22" t="n">
        <f aca="false">SUM(E227-D227)/D227</f>
        <v>0.5</v>
      </c>
      <c r="J227" s="29"/>
      <c r="K227" s="29"/>
    </row>
    <row r="228" s="28" customFormat="true" ht="14.25" hidden="false" customHeight="false" outlineLevel="2" collapsed="false">
      <c r="A228" s="38" t="s">
        <v>218</v>
      </c>
      <c r="B228" s="20" t="n">
        <v>5000</v>
      </c>
      <c r="C228" s="21"/>
      <c r="D228" s="20" t="n">
        <v>5000</v>
      </c>
      <c r="E228" s="20" t="n">
        <v>5000</v>
      </c>
      <c r="F228" s="21" t="n">
        <f aca="false">E228-D228</f>
        <v>0</v>
      </c>
      <c r="G228" s="22" t="n">
        <f aca="false">SUM(E228-D228)/D228</f>
        <v>0</v>
      </c>
      <c r="J228" s="29"/>
      <c r="K228" s="29"/>
    </row>
    <row r="229" s="28" customFormat="true" ht="14.25" hidden="false" customHeight="false" outlineLevel="2" collapsed="false">
      <c r="A229" s="38" t="s">
        <v>219</v>
      </c>
      <c r="B229" s="20" t="n">
        <v>6000</v>
      </c>
      <c r="C229" s="21"/>
      <c r="D229" s="20" t="n">
        <v>6000</v>
      </c>
      <c r="E229" s="20" t="n">
        <v>0</v>
      </c>
      <c r="F229" s="21" t="n">
        <f aca="false">E229-D229</f>
        <v>-6000</v>
      </c>
      <c r="G229" s="22" t="n">
        <f aca="false">SUM(E229-D229)/D229</f>
        <v>-1</v>
      </c>
      <c r="J229" s="29"/>
      <c r="K229" s="29"/>
    </row>
    <row r="230" s="28" customFormat="true" ht="14.25" hidden="false" customHeight="false" outlineLevel="2" collapsed="false">
      <c r="A230" s="38" t="s">
        <v>220</v>
      </c>
      <c r="B230" s="20" t="n">
        <v>600</v>
      </c>
      <c r="C230" s="21"/>
      <c r="D230" s="20" t="n">
        <v>600</v>
      </c>
      <c r="E230" s="20" t="n">
        <v>600</v>
      </c>
      <c r="F230" s="21" t="n">
        <f aca="false">E230-D230</f>
        <v>0</v>
      </c>
      <c r="G230" s="22" t="n">
        <f aca="false">SUM(E230-D230)/D230</f>
        <v>0</v>
      </c>
      <c r="J230" s="29"/>
      <c r="K230" s="29"/>
    </row>
    <row r="231" s="28" customFormat="true" ht="14.25" hidden="false" customHeight="false" outlineLevel="2" collapsed="false">
      <c r="A231" s="38" t="s">
        <v>221</v>
      </c>
      <c r="B231" s="20" t="n">
        <v>37500</v>
      </c>
      <c r="C231" s="21" t="n">
        <v>255.5</v>
      </c>
      <c r="D231" s="20" t="n">
        <v>20000</v>
      </c>
      <c r="E231" s="20" t="n">
        <v>10000</v>
      </c>
      <c r="F231" s="21" t="n">
        <f aca="false">E231-D231</f>
        <v>-10000</v>
      </c>
      <c r="G231" s="22" t="n">
        <v>0</v>
      </c>
      <c r="J231" s="29"/>
      <c r="K231" s="29"/>
    </row>
    <row r="232" s="28" customFormat="true" ht="14.25" hidden="false" customHeight="false" outlineLevel="2" collapsed="false">
      <c r="A232" s="47" t="s">
        <v>222</v>
      </c>
      <c r="B232" s="40" t="n">
        <f aca="false">SUM(B226:B231)</f>
        <v>69100</v>
      </c>
      <c r="C232" s="40" t="n">
        <f aca="false">SUM(C226:C231)</f>
        <v>4025.89</v>
      </c>
      <c r="D232" s="40" t="n">
        <f aca="false">SUM(D226:D231)</f>
        <v>41600</v>
      </c>
      <c r="E232" s="40" t="n">
        <f aca="false">SUM(E226:E231)</f>
        <v>30600</v>
      </c>
      <c r="F232" s="40" t="n">
        <f aca="false">SUM(F226:F231)</f>
        <v>-11000</v>
      </c>
      <c r="G232" s="27" t="n">
        <f aca="false">SUM(E232-D232)/D232</f>
        <v>-0.264423076923077</v>
      </c>
      <c r="J232" s="29"/>
      <c r="K232" s="29"/>
    </row>
    <row r="233" s="28" customFormat="true" ht="14.25" hidden="false" customHeight="false" outlineLevel="2" collapsed="false">
      <c r="A233" s="51"/>
      <c r="B233" s="49"/>
      <c r="C233" s="49"/>
      <c r="D233" s="49"/>
      <c r="E233" s="49"/>
      <c r="F233" s="49"/>
      <c r="G233" s="53"/>
      <c r="J233" s="29"/>
      <c r="K233" s="29"/>
    </row>
    <row r="235" s="28" customFormat="true" ht="14.25" hidden="false" customHeight="false" outlineLevel="3" collapsed="false">
      <c r="A235" s="51"/>
      <c r="B235" s="49"/>
      <c r="C235" s="49"/>
      <c r="D235" s="49"/>
      <c r="E235" s="49"/>
      <c r="F235" s="49"/>
      <c r="G235" s="53"/>
      <c r="J235" s="29"/>
      <c r="K235" s="29"/>
    </row>
    <row r="236" s="28" customFormat="true" ht="14.25" hidden="false" customHeight="false" outlineLevel="3" collapsed="false">
      <c r="A236" s="68" t="s">
        <v>223</v>
      </c>
      <c r="B236" s="79"/>
      <c r="C236" s="79"/>
      <c r="D236" s="79"/>
      <c r="E236" s="79"/>
      <c r="F236" s="79"/>
      <c r="G236" s="69"/>
      <c r="J236" s="29"/>
      <c r="K236" s="29"/>
    </row>
    <row r="237" s="28" customFormat="true" ht="14.25" hidden="false" customHeight="false" outlineLevel="3" collapsed="false">
      <c r="A237" s="80" t="s">
        <v>224</v>
      </c>
      <c r="B237" s="44" t="n">
        <v>0</v>
      </c>
      <c r="C237" s="44" t="n">
        <v>2179005.96</v>
      </c>
      <c r="D237" s="44" t="n">
        <v>0</v>
      </c>
      <c r="E237" s="44" t="n">
        <v>0</v>
      </c>
      <c r="F237" s="21" t="n">
        <f aca="false">E237-D237</f>
        <v>0</v>
      </c>
      <c r="G237" s="22" t="n">
        <v>0</v>
      </c>
      <c r="J237" s="29"/>
      <c r="K237" s="29"/>
    </row>
    <row r="238" s="28" customFormat="true" ht="14.25" hidden="false" customHeight="false" outlineLevel="3" collapsed="false">
      <c r="A238" s="80" t="s">
        <v>225</v>
      </c>
      <c r="B238" s="44" t="n">
        <v>0</v>
      </c>
      <c r="C238" s="44" t="n">
        <v>3156718.18</v>
      </c>
      <c r="D238" s="44" t="n">
        <v>0</v>
      </c>
      <c r="E238" s="44" t="n">
        <v>0</v>
      </c>
      <c r="F238" s="21" t="n">
        <f aca="false">E238-D238</f>
        <v>0</v>
      </c>
      <c r="G238" s="22" t="n">
        <v>0</v>
      </c>
      <c r="J238" s="29"/>
      <c r="K238" s="29"/>
    </row>
    <row r="239" s="28" customFormat="true" ht="14.25" hidden="false" customHeight="false" outlineLevel="3" collapsed="false">
      <c r="A239" s="80"/>
      <c r="B239" s="44" t="n">
        <f aca="false">SUM(B237:B238)</f>
        <v>0</v>
      </c>
      <c r="C239" s="44"/>
      <c r="D239" s="44" t="n">
        <v>0</v>
      </c>
      <c r="E239" s="44" t="n">
        <v>0</v>
      </c>
      <c r="F239" s="44" t="n">
        <f aca="false">SUM(F237:F238)</f>
        <v>0</v>
      </c>
      <c r="G239" s="44" t="n">
        <v>0</v>
      </c>
      <c r="J239" s="29"/>
      <c r="K239" s="29"/>
    </row>
    <row r="240" s="28" customFormat="true" ht="14.25" hidden="false" customHeight="false" outlineLevel="3" collapsed="false">
      <c r="A240" s="47" t="s">
        <v>226</v>
      </c>
      <c r="B240" s="40" t="n">
        <f aca="false">SUM(B237:B239)</f>
        <v>0</v>
      </c>
      <c r="C240" s="40" t="n">
        <f aca="false">SUM(C237:C239)</f>
        <v>5335724.14</v>
      </c>
      <c r="D240" s="40" t="n">
        <f aca="false">SUM(D237:D239)</f>
        <v>0</v>
      </c>
      <c r="E240" s="40" t="n">
        <f aca="false">SUM(E237:E239)</f>
        <v>0</v>
      </c>
      <c r="F240" s="40" t="n">
        <f aca="false">SUM(F237:F239)</f>
        <v>0</v>
      </c>
      <c r="G240" s="44" t="n">
        <f aca="false">SUM(G238:G239)</f>
        <v>0</v>
      </c>
      <c r="J240" s="29"/>
      <c r="K240" s="29"/>
    </row>
    <row r="241" s="28" customFormat="true" ht="14.25" hidden="false" customHeight="false" outlineLevel="3" collapsed="false">
      <c r="A241" s="81" t="s">
        <v>227</v>
      </c>
      <c r="B241" s="60" t="n">
        <f aca="false">B240+B232+B223+B215+B198+B193+B187+B175+B170+B159+B144+B239</f>
        <v>871678</v>
      </c>
      <c r="C241" s="60" t="n">
        <f aca="false">C240+C232+C223+C215+C198+C193+C187+C175+C170+C159+C144+C239</f>
        <v>6118223.69</v>
      </c>
      <c r="D241" s="60" t="n">
        <f aca="false">D240+D232+D223+D215+D198+D193+D187+D175+D170+D159+D144+D239</f>
        <v>971598.386304</v>
      </c>
      <c r="E241" s="60" t="n">
        <f aca="false">E240+E232+E223+E215+E198+E193+E187+E175+E170+E159+E144+E239</f>
        <v>1073704.64415185</v>
      </c>
      <c r="F241" s="60" t="n">
        <f aca="false">F240+F232+F223+F215+F198+F193+F187+F175+F170+F159+F144+F239</f>
        <v>88249.8757492501</v>
      </c>
      <c r="G241" s="61" t="n">
        <f aca="false">SUM(E241-D241)/D241</f>
        <v>0.10509101217867</v>
      </c>
      <c r="J241" s="29"/>
      <c r="K241" s="29"/>
    </row>
    <row r="242" s="28" customFormat="true" ht="14.25" hidden="false" customHeight="false" outlineLevel="3" collapsed="false">
      <c r="A242" s="51"/>
      <c r="B242" s="49"/>
      <c r="C242" s="49"/>
      <c r="D242" s="49"/>
      <c r="E242" s="49"/>
      <c r="F242" s="49"/>
      <c r="G242" s="53"/>
      <c r="J242" s="29"/>
      <c r="K242" s="29"/>
    </row>
    <row r="243" customFormat="false" ht="14.25" hidden="false" customHeight="false" outlineLevel="3" collapsed="false">
      <c r="A243" s="54" t="s">
        <v>228</v>
      </c>
      <c r="B243" s="55"/>
      <c r="C243" s="56"/>
      <c r="D243" s="55"/>
      <c r="E243" s="55"/>
      <c r="F243" s="57"/>
      <c r="G243" s="58"/>
      <c r="K243" s="29"/>
    </row>
    <row r="244" customFormat="false" ht="14.25" hidden="false" customHeight="false" outlineLevel="3" collapsed="false">
      <c r="A244" s="82" t="s">
        <v>229</v>
      </c>
      <c r="B244" s="20" t="n">
        <v>40000</v>
      </c>
      <c r="C244" s="50" t="n">
        <v>40000</v>
      </c>
      <c r="D244" s="20" t="n">
        <v>40000</v>
      </c>
      <c r="E244" s="20" t="n">
        <v>40000</v>
      </c>
      <c r="F244" s="50" t="n">
        <f aca="false">E244-D244</f>
        <v>0</v>
      </c>
      <c r="G244" s="34" t="n">
        <v>1</v>
      </c>
      <c r="K244" s="29"/>
    </row>
    <row r="245" customFormat="false" ht="14.25" hidden="false" customHeight="false" outlineLevel="3" collapsed="false">
      <c r="A245" s="82" t="s">
        <v>230</v>
      </c>
      <c r="B245" s="20" t="n">
        <v>3889</v>
      </c>
      <c r="C245" s="50" t="n">
        <v>3860.99</v>
      </c>
      <c r="D245" s="20" t="n">
        <v>2768</v>
      </c>
      <c r="E245" s="20" t="n">
        <v>1653.8</v>
      </c>
      <c r="F245" s="50" t="n">
        <f aca="false">E245-D245</f>
        <v>-1114.2</v>
      </c>
      <c r="G245" s="34" t="n">
        <v>1</v>
      </c>
      <c r="K245" s="29"/>
    </row>
    <row r="246" customFormat="false" ht="14.25" hidden="false" customHeight="false" outlineLevel="3" collapsed="false">
      <c r="A246" s="82" t="s">
        <v>231</v>
      </c>
      <c r="B246" s="20" t="n">
        <v>18700</v>
      </c>
      <c r="C246" s="50" t="n">
        <v>18700</v>
      </c>
      <c r="D246" s="20" t="n">
        <v>18700</v>
      </c>
      <c r="E246" s="20" t="n">
        <v>18700</v>
      </c>
      <c r="F246" s="50" t="n">
        <f aca="false">E246-D246</f>
        <v>0</v>
      </c>
      <c r="G246" s="34" t="n">
        <v>1</v>
      </c>
      <c r="K246" s="29"/>
    </row>
    <row r="247" customFormat="false" ht="14.25" hidden="false" customHeight="false" outlineLevel="3" collapsed="false">
      <c r="A247" s="82" t="s">
        <v>232</v>
      </c>
      <c r="B247" s="20" t="n">
        <v>5964</v>
      </c>
      <c r="C247" s="50" t="n">
        <v>5975.14</v>
      </c>
      <c r="D247" s="20" t="n">
        <v>5491</v>
      </c>
      <c r="E247" s="20" t="n">
        <v>5039.65</v>
      </c>
      <c r="F247" s="50" t="n">
        <f aca="false">E247-D247</f>
        <v>-451.35</v>
      </c>
      <c r="G247" s="34" t="n">
        <v>1</v>
      </c>
      <c r="K247" s="29"/>
    </row>
    <row r="248" customFormat="false" ht="14.25" hidden="false" customHeight="false" outlineLevel="3" collapsed="false">
      <c r="A248" s="82" t="s">
        <v>233</v>
      </c>
      <c r="B248" s="20" t="n">
        <v>21409</v>
      </c>
      <c r="C248" s="50" t="n">
        <v>21408.57</v>
      </c>
      <c r="D248" s="20" t="n">
        <v>21409</v>
      </c>
      <c r="E248" s="20" t="n">
        <v>0</v>
      </c>
      <c r="F248" s="50" t="n">
        <f aca="false">E248-D248</f>
        <v>-21409</v>
      </c>
      <c r="G248" s="34" t="n">
        <f aca="false">SUM(E248-D248)/D248</f>
        <v>-1</v>
      </c>
      <c r="K248" s="29"/>
    </row>
    <row r="249" customFormat="false" ht="14.25" hidden="false" customHeight="false" outlineLevel="3" collapsed="false">
      <c r="A249" s="82" t="s">
        <v>234</v>
      </c>
      <c r="B249" s="20" t="n">
        <v>1393</v>
      </c>
      <c r="C249" s="50" t="n">
        <v>1364.34</v>
      </c>
      <c r="D249" s="20" t="n">
        <v>695</v>
      </c>
      <c r="E249" s="20" t="n">
        <v>0</v>
      </c>
      <c r="F249" s="50" t="n">
        <f aca="false">E249-D249</f>
        <v>-695</v>
      </c>
      <c r="G249" s="34" t="n">
        <f aca="false">SUM(E249-D249)/D249</f>
        <v>-1</v>
      </c>
      <c r="K249" s="29"/>
    </row>
    <row r="250" customFormat="false" ht="14.25" hidden="false" customHeight="false" outlineLevel="3" collapsed="false">
      <c r="A250" s="82" t="s">
        <v>235</v>
      </c>
      <c r="B250" s="20" t="n">
        <v>0</v>
      </c>
      <c r="C250" s="50"/>
      <c r="D250" s="20" t="n">
        <v>18200</v>
      </c>
      <c r="E250" s="20" t="n">
        <v>18200</v>
      </c>
      <c r="F250" s="50" t="n">
        <f aca="false">E250-D250</f>
        <v>0</v>
      </c>
      <c r="G250" s="34" t="n">
        <f aca="false">SUM(E250-D250)/D250</f>
        <v>0</v>
      </c>
    </row>
    <row r="251" customFormat="false" ht="14.25" hidden="false" customHeight="false" outlineLevel="3" collapsed="false">
      <c r="A251" s="82" t="s">
        <v>236</v>
      </c>
      <c r="B251" s="20" t="n">
        <v>0</v>
      </c>
      <c r="C251" s="50"/>
      <c r="D251" s="20" t="n">
        <v>10865</v>
      </c>
      <c r="E251" s="20" t="n">
        <v>9778.86</v>
      </c>
      <c r="F251" s="50" t="n">
        <f aca="false">E251-D251</f>
        <v>-1086.14</v>
      </c>
      <c r="G251" s="34" t="n">
        <f aca="false">SUM(E251-D251)/D251</f>
        <v>-0.0999668660837551</v>
      </c>
    </row>
    <row r="252" customFormat="false" ht="14.25" hidden="false" customHeight="false" outlineLevel="3" collapsed="false">
      <c r="A252" s="82" t="s">
        <v>237</v>
      </c>
      <c r="B252" s="20" t="n">
        <v>60000</v>
      </c>
      <c r="C252" s="50" t="n">
        <v>1549265.28</v>
      </c>
      <c r="D252" s="50" t="n">
        <v>60000</v>
      </c>
      <c r="E252" s="21" t="n">
        <v>60000</v>
      </c>
      <c r="F252" s="50" t="n">
        <f aca="false">E252-D252</f>
        <v>0</v>
      </c>
      <c r="G252" s="34" t="n">
        <f aca="false">SUM(E252-D252)/D252</f>
        <v>0</v>
      </c>
    </row>
    <row r="253" customFormat="false" ht="14.25" hidden="false" customHeight="false" outlineLevel="3" collapsed="false">
      <c r="A253" s="83"/>
    </row>
    <row r="254" customFormat="false" ht="14.25" hidden="false" customHeight="false" outlineLevel="3" collapsed="false">
      <c r="A254" s="47" t="s">
        <v>238</v>
      </c>
      <c r="B254" s="40" t="n">
        <f aca="false">SUM(B244:B253)</f>
        <v>151355</v>
      </c>
      <c r="C254" s="40" t="n">
        <f aca="false">SUM(C244:C253)</f>
        <v>1640574.32</v>
      </c>
      <c r="D254" s="40" t="n">
        <f aca="false">SUM(D244:D253)</f>
        <v>178128</v>
      </c>
      <c r="E254" s="40" t="n">
        <f aca="false">SUM(E244:E253)</f>
        <v>153372.31</v>
      </c>
      <c r="F254" s="40" t="n">
        <f aca="false">SUM(F244:F252)</f>
        <v>-24755.69</v>
      </c>
      <c r="G254" s="27" t="n">
        <f aca="false">SUM(E254-D254)/D254</f>
        <v>-0.138976971615917</v>
      </c>
    </row>
    <row r="255" customFormat="false" ht="14.25" hidden="false" customHeight="false" outlineLevel="3" collapsed="false">
      <c r="A255" s="51"/>
      <c r="B255" s="49"/>
      <c r="C255" s="49"/>
      <c r="D255" s="49"/>
      <c r="E255" s="49"/>
      <c r="F255" s="49"/>
      <c r="G255" s="53"/>
      <c r="J255" s="5" t="s">
        <v>32</v>
      </c>
    </row>
    <row r="256" s="28" customFormat="true" ht="14.25" hidden="false" customHeight="false" outlineLevel="2" collapsed="false">
      <c r="A256" s="59" t="s">
        <v>239</v>
      </c>
      <c r="B256" s="60" t="n">
        <f aca="false">B241+B254</f>
        <v>1023033</v>
      </c>
      <c r="C256" s="60" t="n">
        <f aca="false">C241+C254</f>
        <v>7758798.01</v>
      </c>
      <c r="D256" s="60" t="n">
        <f aca="false">D241+D254</f>
        <v>1149726.386304</v>
      </c>
      <c r="E256" s="60" t="n">
        <f aca="false">E241+E254</f>
        <v>1227076.95415185</v>
      </c>
      <c r="F256" s="60" t="n">
        <f aca="false">E256-D256</f>
        <v>77350.5678478503</v>
      </c>
      <c r="G256" s="84" t="n">
        <f aca="false">SUM(E256-D256)/D256</f>
        <v>0.0672773703111289</v>
      </c>
      <c r="I256" s="42" t="n">
        <f aca="false">F256/D330</f>
        <v>0.0381614787251432</v>
      </c>
      <c r="J256" s="29"/>
      <c r="K256" s="29"/>
    </row>
    <row r="257" s="28" customFormat="true" ht="14.25" hidden="false" customHeight="false" outlineLevel="2" collapsed="false">
      <c r="A257" s="30"/>
      <c r="B257" s="31"/>
      <c r="C257" s="32"/>
      <c r="D257" s="31"/>
      <c r="E257" s="31"/>
      <c r="F257" s="33"/>
      <c r="G257" s="34"/>
      <c r="J257" s="29"/>
      <c r="K257" s="29"/>
    </row>
    <row r="258" customFormat="false" ht="14.25" hidden="false" customHeight="false" outlineLevel="2" collapsed="false">
      <c r="A258" s="54" t="s">
        <v>240</v>
      </c>
      <c r="B258" s="55"/>
      <c r="C258" s="56"/>
      <c r="D258" s="55"/>
      <c r="E258" s="55"/>
      <c r="F258" s="57"/>
      <c r="G258" s="58"/>
    </row>
    <row r="259" customFormat="false" ht="14.25" hidden="false" customHeight="false" outlineLevel="3" collapsed="false">
      <c r="A259" s="50" t="s">
        <v>241</v>
      </c>
      <c r="B259" s="20" t="n">
        <v>7500</v>
      </c>
      <c r="C259" s="50" t="n">
        <v>6900</v>
      </c>
      <c r="D259" s="20" t="n">
        <v>6500</v>
      </c>
      <c r="E259" s="20" t="n">
        <v>8500</v>
      </c>
      <c r="F259" s="50" t="n">
        <f aca="false">E259-D259</f>
        <v>2000</v>
      </c>
      <c r="G259" s="34" t="n">
        <f aca="false">SUM(E259-D259)/D259</f>
        <v>0.307692307692308</v>
      </c>
    </row>
    <row r="260" customFormat="false" ht="14.25" hidden="false" customHeight="false" outlineLevel="3" collapsed="false">
      <c r="A260" s="50" t="s">
        <v>242</v>
      </c>
      <c r="B260" s="20" t="n">
        <v>0</v>
      </c>
      <c r="C260" s="50"/>
      <c r="D260" s="20" t="n">
        <v>0</v>
      </c>
      <c r="E260" s="20"/>
      <c r="F260" s="50" t="n">
        <f aca="false">E260-D260</f>
        <v>0</v>
      </c>
      <c r="G260" s="34" t="n">
        <v>0</v>
      </c>
    </row>
    <row r="261" customFormat="false" ht="14.25" hidden="false" customHeight="false" outlineLevel="3" collapsed="false">
      <c r="A261" s="50" t="s">
        <v>243</v>
      </c>
      <c r="B261" s="20" t="n">
        <v>0</v>
      </c>
      <c r="C261" s="50"/>
      <c r="D261" s="20" t="n">
        <v>0</v>
      </c>
      <c r="E261" s="20"/>
      <c r="F261" s="50" t="n">
        <f aca="false">E261-D261</f>
        <v>0</v>
      </c>
      <c r="G261" s="34" t="n">
        <v>0</v>
      </c>
    </row>
    <row r="262" s="28" customFormat="true" ht="14.25" hidden="false" customHeight="false" outlineLevel="2" collapsed="false">
      <c r="A262" s="60" t="s">
        <v>244</v>
      </c>
      <c r="B262" s="60" t="n">
        <f aca="false">SUM(B259:B261)</f>
        <v>7500</v>
      </c>
      <c r="C262" s="60" t="n">
        <f aca="false">SUM(C259:C261)</f>
        <v>6900</v>
      </c>
      <c r="D262" s="60" t="n">
        <f aca="false">SUM(D259:D261)</f>
        <v>6500</v>
      </c>
      <c r="E262" s="60" t="n">
        <f aca="false">SUM(E259:E261)</f>
        <v>8500</v>
      </c>
      <c r="F262" s="60" t="n">
        <f aca="false">E262-D262</f>
        <v>2000</v>
      </c>
      <c r="G262" s="84" t="n">
        <f aca="false">SUM(E262-D262)/D262</f>
        <v>0.307692307692308</v>
      </c>
      <c r="J262" s="29"/>
      <c r="K262" s="29"/>
    </row>
    <row r="263" s="28" customFormat="true" ht="14.25" hidden="false" customHeight="false" outlineLevel="2" collapsed="false">
      <c r="A263" s="49"/>
      <c r="B263" s="48"/>
      <c r="C263" s="49"/>
      <c r="D263" s="48"/>
      <c r="E263" s="48"/>
      <c r="F263" s="50"/>
      <c r="G263" s="34"/>
      <c r="J263" s="29"/>
      <c r="K263" s="29"/>
    </row>
    <row r="264" customFormat="false" ht="14.25" hidden="false" customHeight="false" outlineLevel="2" collapsed="false">
      <c r="A264" s="54" t="s">
        <v>245</v>
      </c>
      <c r="B264" s="55"/>
      <c r="C264" s="56"/>
      <c r="D264" s="55"/>
      <c r="E264" s="55"/>
      <c r="F264" s="57"/>
      <c r="G264" s="58"/>
    </row>
    <row r="265" customFormat="false" ht="14.25" hidden="false" customHeight="false" outlineLevel="2" collapsed="false">
      <c r="A265" s="82" t="s">
        <v>246</v>
      </c>
      <c r="B265" s="20" t="n">
        <v>7098</v>
      </c>
      <c r="C265" s="50" t="n">
        <v>4712.74</v>
      </c>
      <c r="D265" s="20" t="n">
        <v>4724.096</v>
      </c>
      <c r="E265" s="20" t="n">
        <f aca="false">'Salaries 3%'!H31</f>
        <v>4866.544</v>
      </c>
      <c r="F265" s="50" t="n">
        <f aca="false">E265-D265</f>
        <v>142.447999999999</v>
      </c>
      <c r="G265" s="34" t="n">
        <f aca="false">SUM(E265-D265)/D265</f>
        <v>0.030153493917143</v>
      </c>
    </row>
    <row r="266" customFormat="false" ht="14.25" hidden="false" customHeight="false" outlineLevel="2" collapsed="false">
      <c r="A266" s="62" t="s">
        <v>247</v>
      </c>
      <c r="B266" s="39" t="n">
        <v>575</v>
      </c>
      <c r="C266" s="50" t="n">
        <f aca="false">364.17+20.96</f>
        <v>385.13</v>
      </c>
      <c r="D266" s="39" t="n">
        <v>382.1793664</v>
      </c>
      <c r="E266" s="39" t="n">
        <f aca="false">'Salaries 3%'!I31</f>
        <v>372.290616</v>
      </c>
      <c r="F266" s="50" t="n">
        <f aca="false">E266-D266</f>
        <v>-9.88875039999999</v>
      </c>
      <c r="G266" s="34" t="n">
        <f aca="false">SUM(E266-D266)/D266</f>
        <v>-0.0258746318336039</v>
      </c>
    </row>
    <row r="267" customFormat="false" ht="14.25" hidden="false" customHeight="false" outlineLevel="2" collapsed="false">
      <c r="A267" s="62" t="s">
        <v>248</v>
      </c>
      <c r="B267" s="39"/>
      <c r="C267" s="50"/>
      <c r="D267" s="39"/>
      <c r="E267" s="39" t="n">
        <f aca="false">'Salaries 3%'!J31</f>
        <v>21.4127936</v>
      </c>
      <c r="F267" s="50"/>
      <c r="G267" s="34" t="n">
        <v>1</v>
      </c>
    </row>
    <row r="268" customFormat="false" ht="14.25" hidden="false" customHeight="false" outlineLevel="2" collapsed="false">
      <c r="A268" s="62" t="s">
        <v>249</v>
      </c>
      <c r="B268" s="39" t="n">
        <v>527</v>
      </c>
      <c r="C268" s="50" t="n">
        <v>674.24</v>
      </c>
      <c r="D268" s="39" t="n">
        <v>363.755392</v>
      </c>
      <c r="E268" s="39" t="n">
        <f aca="false">'Salaries 3%'!P31</f>
        <v>374.723888</v>
      </c>
      <c r="F268" s="50" t="n">
        <f aca="false">E268-D268</f>
        <v>10.9684959999999</v>
      </c>
      <c r="G268" s="34" t="n">
        <f aca="false">SUM(E268-D268)/D268</f>
        <v>0.0301534939171428</v>
      </c>
    </row>
    <row r="269" customFormat="false" ht="14.25" hidden="false" customHeight="false" outlineLevel="2" collapsed="false">
      <c r="A269" s="62" t="s">
        <v>250</v>
      </c>
      <c r="B269" s="39" t="n">
        <v>0</v>
      </c>
      <c r="C269" s="50" t="n">
        <v>18.05</v>
      </c>
      <c r="D269" s="39" t="n">
        <v>23.1480704</v>
      </c>
      <c r="E269" s="39" t="n">
        <f aca="false">'Salaries 3%'!L31</f>
        <v>43.798896</v>
      </c>
      <c r="F269" s="50" t="n">
        <f aca="false">E269-D269</f>
        <v>20.6508256</v>
      </c>
      <c r="G269" s="34" t="n">
        <f aca="false">SUM(E269-D269)/D269</f>
        <v>0.892118662296793</v>
      </c>
    </row>
    <row r="270" customFormat="false" ht="14.25" hidden="false" customHeight="false" outlineLevel="2" collapsed="false">
      <c r="A270" s="85" t="s">
        <v>251</v>
      </c>
      <c r="B270" s="20" t="n">
        <v>0</v>
      </c>
      <c r="C270" s="50"/>
      <c r="D270" s="20" t="n">
        <v>0</v>
      </c>
      <c r="E270" s="20" t="n">
        <v>0</v>
      </c>
      <c r="F270" s="50" t="n">
        <f aca="false">E270-D270</f>
        <v>0</v>
      </c>
      <c r="G270" s="34" t="n">
        <v>0</v>
      </c>
    </row>
    <row r="271" customFormat="false" ht="14.25" hidden="false" customHeight="false" outlineLevel="2" collapsed="false">
      <c r="A271" s="85" t="s">
        <v>252</v>
      </c>
      <c r="B271" s="20" t="n">
        <v>0</v>
      </c>
      <c r="C271" s="50" t="n">
        <v>0</v>
      </c>
      <c r="D271" s="20" t="n">
        <v>209.58</v>
      </c>
      <c r="E271" s="20" t="n">
        <v>131.69</v>
      </c>
      <c r="F271" s="50" t="n">
        <f aca="false">E271-D271</f>
        <v>-77.89</v>
      </c>
      <c r="G271" s="34" t="n">
        <f aca="false">SUM(E271-D271)/D271</f>
        <v>-0.371648058020804</v>
      </c>
    </row>
    <row r="272" customFormat="false" ht="14.25" hidden="false" customHeight="false" outlineLevel="3" collapsed="false">
      <c r="A272" s="82" t="s">
        <v>253</v>
      </c>
      <c r="B272" s="20" t="n">
        <v>4520</v>
      </c>
      <c r="C272" s="50" t="n">
        <v>4447.5</v>
      </c>
      <c r="D272" s="20" t="n">
        <v>4700</v>
      </c>
      <c r="E272" s="20" t="n">
        <v>4700</v>
      </c>
      <c r="F272" s="50" t="n">
        <f aca="false">E272-D272</f>
        <v>0</v>
      </c>
      <c r="G272" s="34" t="n">
        <f aca="false">SUM(E272-D272)/D272</f>
        <v>0</v>
      </c>
    </row>
    <row r="273" customFormat="false" ht="14.25" hidden="false" customHeight="false" outlineLevel="3" collapsed="false">
      <c r="A273" s="82" t="s">
        <v>254</v>
      </c>
      <c r="B273" s="20" t="n">
        <v>5250</v>
      </c>
      <c r="C273" s="50" t="n">
        <v>3639.14</v>
      </c>
      <c r="D273" s="20" t="n">
        <v>5050</v>
      </c>
      <c r="E273" s="20" t="n">
        <v>5050</v>
      </c>
      <c r="F273" s="50" t="n">
        <f aca="false">E273-D273</f>
        <v>0</v>
      </c>
      <c r="G273" s="34" t="n">
        <f aca="false">SUM(E273-D273)/D273</f>
        <v>0</v>
      </c>
    </row>
    <row r="274" customFormat="false" ht="14.25" hidden="false" customHeight="false" outlineLevel="3" collapsed="false">
      <c r="A274" s="82" t="s">
        <v>255</v>
      </c>
      <c r="B274" s="20" t="n">
        <v>0</v>
      </c>
      <c r="C274" s="50" t="n">
        <v>0</v>
      </c>
      <c r="D274" s="20" t="n">
        <v>1200</v>
      </c>
      <c r="E274" s="20" t="n">
        <v>1000</v>
      </c>
      <c r="F274" s="50" t="n">
        <f aca="false">E274-D274</f>
        <v>-200</v>
      </c>
      <c r="G274" s="34" t="n">
        <f aca="false">SUM(E274-D274)/D274</f>
        <v>-0.166666666666667</v>
      </c>
    </row>
    <row r="275" customFormat="false" ht="14.25" hidden="false" customHeight="false" outlineLevel="3" collapsed="false">
      <c r="A275" s="82" t="s">
        <v>256</v>
      </c>
      <c r="B275" s="20" t="n">
        <v>1000</v>
      </c>
      <c r="C275" s="50" t="n">
        <v>2331.3</v>
      </c>
      <c r="D275" s="20" t="n">
        <v>1000</v>
      </c>
      <c r="E275" s="20" t="n">
        <v>1200</v>
      </c>
      <c r="F275" s="50" t="n">
        <f aca="false">E275-D275</f>
        <v>200</v>
      </c>
      <c r="G275" s="34" t="n">
        <f aca="false">SUM(E275-D275)/D275</f>
        <v>0.2</v>
      </c>
    </row>
    <row r="276" customFormat="false" ht="14.25" hidden="false" customHeight="false" outlineLevel="3" collapsed="false">
      <c r="A276" s="82" t="s">
        <v>257</v>
      </c>
      <c r="B276" s="20" t="n">
        <v>700</v>
      </c>
      <c r="C276" s="50"/>
      <c r="D276" s="20" t="n">
        <v>0</v>
      </c>
      <c r="E276" s="20" t="n">
        <v>0</v>
      </c>
      <c r="F276" s="50" t="n">
        <f aca="false">E276-D276</f>
        <v>0</v>
      </c>
      <c r="G276" s="34" t="n">
        <v>0</v>
      </c>
    </row>
    <row r="277" customFormat="false" ht="14.25" hidden="false" customHeight="false" outlineLevel="3" collapsed="false">
      <c r="A277" s="82" t="s">
        <v>258</v>
      </c>
      <c r="B277" s="20" t="n">
        <v>0</v>
      </c>
      <c r="C277" s="50"/>
      <c r="D277" s="20" t="n">
        <v>0</v>
      </c>
      <c r="E277" s="20" t="n">
        <v>0</v>
      </c>
      <c r="F277" s="50" t="n">
        <f aca="false">E277-D277</f>
        <v>0</v>
      </c>
      <c r="G277" s="34" t="n">
        <v>0</v>
      </c>
    </row>
    <row r="278" customFormat="false" ht="14.25" hidden="false" customHeight="false" outlineLevel="3" collapsed="false">
      <c r="A278" s="82" t="s">
        <v>259</v>
      </c>
      <c r="B278" s="20" t="n">
        <v>500</v>
      </c>
      <c r="C278" s="50"/>
      <c r="D278" s="20" t="n">
        <v>0</v>
      </c>
      <c r="E278" s="20" t="n">
        <v>0</v>
      </c>
      <c r="F278" s="50" t="n">
        <f aca="false">E278-D278</f>
        <v>0</v>
      </c>
      <c r="G278" s="34" t="n">
        <v>0</v>
      </c>
    </row>
    <row r="279" customFormat="false" ht="14.25" hidden="false" customHeight="false" outlineLevel="3" collapsed="false">
      <c r="A279" s="82" t="s">
        <v>260</v>
      </c>
      <c r="B279" s="20" t="n">
        <v>2510</v>
      </c>
      <c r="C279" s="50" t="n">
        <v>2075</v>
      </c>
      <c r="D279" s="20" t="n">
        <v>3125</v>
      </c>
      <c r="E279" s="20" t="n">
        <f aca="false">2725+600</f>
        <v>3325</v>
      </c>
      <c r="F279" s="50" t="n">
        <f aca="false">E279-D279</f>
        <v>200</v>
      </c>
      <c r="G279" s="34" t="n">
        <f aca="false">SUM(E279-D279)/D279</f>
        <v>0.064</v>
      </c>
    </row>
    <row r="280" customFormat="false" ht="14.25" hidden="false" customHeight="false" outlineLevel="3" collapsed="false">
      <c r="A280" s="82" t="s">
        <v>261</v>
      </c>
      <c r="B280" s="20" t="n">
        <v>1680</v>
      </c>
      <c r="C280" s="50"/>
      <c r="D280" s="20" t="n">
        <v>0</v>
      </c>
      <c r="E280" s="20"/>
      <c r="F280" s="50" t="n">
        <f aca="false">E280-D280</f>
        <v>0</v>
      </c>
      <c r="G280" s="34" t="n">
        <v>0</v>
      </c>
    </row>
    <row r="281" customFormat="false" ht="14.25" hidden="false" customHeight="false" outlineLevel="3" collapsed="false">
      <c r="A281" s="82" t="s">
        <v>262</v>
      </c>
      <c r="B281" s="20" t="n">
        <v>0</v>
      </c>
      <c r="C281" s="50"/>
      <c r="D281" s="20" t="n">
        <v>1500</v>
      </c>
      <c r="E281" s="20" t="n">
        <v>1500</v>
      </c>
      <c r="F281" s="50" t="n">
        <f aca="false">E281-D281</f>
        <v>0</v>
      </c>
      <c r="G281" s="34" t="n">
        <f aca="false">SUM(E281-D281)/D281</f>
        <v>0</v>
      </c>
    </row>
    <row r="282" s="28" customFormat="true" ht="14.25" hidden="false" customHeight="false" outlineLevel="2" collapsed="false">
      <c r="A282" s="59" t="s">
        <v>263</v>
      </c>
      <c r="B282" s="60" t="n">
        <f aca="false">SUM(B265:B281)</f>
        <v>24360</v>
      </c>
      <c r="C282" s="60" t="n">
        <f aca="false">SUM(C265:C281)</f>
        <v>18283.1</v>
      </c>
      <c r="D282" s="60" t="n">
        <f aca="false">SUM(D265:D281)</f>
        <v>22277.7588288</v>
      </c>
      <c r="E282" s="60" t="n">
        <f aca="false">SUM(E265:E281)</f>
        <v>22585.4601936</v>
      </c>
      <c r="F282" s="60" t="n">
        <f aca="false">E282-D282</f>
        <v>307.701364799999</v>
      </c>
      <c r="G282" s="61" t="n">
        <f aca="false">SUM(E282-D282)/D282</f>
        <v>0.0138120430858697</v>
      </c>
      <c r="J282" s="29"/>
      <c r="K282" s="29"/>
    </row>
    <row r="283" customFormat="false" ht="14.25" hidden="false" customHeight="false" outlineLevel="2" collapsed="false">
      <c r="A283" s="82"/>
      <c r="B283" s="20"/>
      <c r="C283" s="50"/>
      <c r="D283" s="20"/>
      <c r="E283" s="20"/>
      <c r="F283" s="50"/>
      <c r="G283" s="34"/>
    </row>
    <row r="284" customFormat="false" ht="14.25" hidden="false" customHeight="false" outlineLevel="2" collapsed="false">
      <c r="A284" s="54" t="s">
        <v>264</v>
      </c>
      <c r="B284" s="55"/>
      <c r="C284" s="56"/>
      <c r="D284" s="55"/>
      <c r="E284" s="55"/>
      <c r="F284" s="57"/>
      <c r="G284" s="58"/>
    </row>
    <row r="285" customFormat="false" ht="14.25" hidden="false" customHeight="false" outlineLevel="2" collapsed="false">
      <c r="A285" s="82" t="s">
        <v>265</v>
      </c>
      <c r="B285" s="20" t="n">
        <v>9238</v>
      </c>
      <c r="C285" s="50" t="n">
        <v>7182.69</v>
      </c>
      <c r="D285" s="20" t="n">
        <v>9547.68</v>
      </c>
      <c r="E285" s="20" t="n">
        <f aca="false">'Salaries 3%'!H36</f>
        <v>9524.77</v>
      </c>
      <c r="F285" s="50" t="n">
        <f aca="false">E285-D285</f>
        <v>-22.9099999999999</v>
      </c>
      <c r="G285" s="34" t="n">
        <f aca="false">SUM(E285-D285)/D285</f>
        <v>-0.00239953580346219</v>
      </c>
    </row>
    <row r="286" customFormat="false" ht="14.25" hidden="false" customHeight="false" outlineLevel="2" collapsed="false">
      <c r="A286" s="62" t="s">
        <v>266</v>
      </c>
      <c r="B286" s="20" t="n">
        <v>747</v>
      </c>
      <c r="C286" s="50" t="n">
        <f aca="false">535.73+30.8</f>
        <v>566.53</v>
      </c>
      <c r="D286" s="20" t="n">
        <v>772.407312</v>
      </c>
      <c r="E286" s="20" t="n">
        <f aca="false">'Salaries 3%'!I36</f>
        <v>728.644905</v>
      </c>
      <c r="F286" s="50" t="n">
        <f aca="false">E286-D286</f>
        <v>-43.7624070000001</v>
      </c>
      <c r="G286" s="34" t="n">
        <f aca="false">SUM(E286-D286)/D286</f>
        <v>-0.0566571630279958</v>
      </c>
    </row>
    <row r="287" customFormat="false" ht="14.25" hidden="false" customHeight="false" outlineLevel="2" collapsed="false">
      <c r="A287" s="62" t="s">
        <v>267</v>
      </c>
      <c r="B287" s="20"/>
      <c r="C287" s="50"/>
      <c r="D287" s="20"/>
      <c r="E287" s="20" t="n">
        <f aca="false">'Salaries 3%'!J36</f>
        <v>41.908988</v>
      </c>
      <c r="F287" s="50"/>
      <c r="G287" s="34" t="n">
        <v>1</v>
      </c>
    </row>
    <row r="288" customFormat="false" ht="14.25" hidden="false" customHeight="false" outlineLevel="2" collapsed="false">
      <c r="A288" s="62" t="s">
        <v>268</v>
      </c>
      <c r="B288" s="20" t="n">
        <v>111</v>
      </c>
      <c r="C288" s="50"/>
      <c r="D288" s="20" t="n">
        <v>75.426672</v>
      </c>
      <c r="E288" s="20" t="n">
        <f aca="false">'Salaries 3%'!P36</f>
        <v>75.245683</v>
      </c>
      <c r="F288" s="50" t="n">
        <f aca="false">E288-D288</f>
        <v>-0.180988999999997</v>
      </c>
      <c r="G288" s="34" t="n">
        <f aca="false">SUM(E288-D288)/D288</f>
        <v>-0.00239953580346216</v>
      </c>
    </row>
    <row r="289" customFormat="false" ht="14.25" hidden="false" customHeight="false" outlineLevel="3" collapsed="false">
      <c r="A289" s="82" t="s">
        <v>269</v>
      </c>
      <c r="B289" s="20" t="n">
        <v>250</v>
      </c>
      <c r="C289" s="50" t="n">
        <v>78.52</v>
      </c>
      <c r="D289" s="20" t="n">
        <v>250</v>
      </c>
      <c r="E289" s="20" t="n">
        <v>250</v>
      </c>
      <c r="F289" s="50" t="n">
        <f aca="false">E289-D289</f>
        <v>0</v>
      </c>
      <c r="G289" s="34" t="n">
        <f aca="false">SUM(E289-D289)/D289</f>
        <v>0</v>
      </c>
    </row>
    <row r="290" customFormat="false" ht="14.25" hidden="false" customHeight="false" outlineLevel="3" collapsed="false">
      <c r="A290" s="82" t="s">
        <v>270</v>
      </c>
      <c r="B290" s="20" t="n">
        <v>400</v>
      </c>
      <c r="C290" s="50" t="n">
        <v>141.17</v>
      </c>
      <c r="D290" s="20" t="n">
        <v>500</v>
      </c>
      <c r="E290" s="20" t="n">
        <v>500</v>
      </c>
      <c r="F290" s="50" t="n">
        <f aca="false">E290-D290</f>
        <v>0</v>
      </c>
      <c r="G290" s="34" t="n">
        <f aca="false">SUM(E290-D290)/D290</f>
        <v>0</v>
      </c>
    </row>
    <row r="291" customFormat="false" ht="14.25" hidden="false" customHeight="false" outlineLevel="3" collapsed="false">
      <c r="A291" s="82" t="s">
        <v>271</v>
      </c>
      <c r="B291" s="20" t="n">
        <v>3000</v>
      </c>
      <c r="C291" s="50" t="n">
        <v>549.98</v>
      </c>
      <c r="D291" s="20" t="n">
        <v>2000</v>
      </c>
      <c r="E291" s="20" t="n">
        <v>2000</v>
      </c>
      <c r="F291" s="50" t="n">
        <f aca="false">E291-D291</f>
        <v>0</v>
      </c>
      <c r="G291" s="34" t="n">
        <f aca="false">SUM(E291-D291)/D291</f>
        <v>0</v>
      </c>
    </row>
    <row r="292" customFormat="false" ht="14.25" hidden="false" customHeight="false" outlineLevel="3" collapsed="false">
      <c r="A292" s="82" t="s">
        <v>63</v>
      </c>
      <c r="B292" s="20" t="n">
        <v>300</v>
      </c>
      <c r="C292" s="50"/>
      <c r="D292" s="20" t="n">
        <v>300</v>
      </c>
      <c r="E292" s="20" t="n">
        <v>300</v>
      </c>
      <c r="F292" s="50" t="n">
        <f aca="false">E292-D292</f>
        <v>0</v>
      </c>
      <c r="G292" s="34" t="n">
        <f aca="false">SUM(E292-D292)/D292</f>
        <v>0</v>
      </c>
    </row>
    <row r="293" customFormat="false" ht="14.25" hidden="false" customHeight="false" outlineLevel="3" collapsed="false">
      <c r="A293" s="82" t="s">
        <v>103</v>
      </c>
      <c r="B293" s="20" t="n">
        <v>250</v>
      </c>
      <c r="C293" s="50"/>
      <c r="D293" s="20" t="n">
        <v>250</v>
      </c>
      <c r="E293" s="20" t="n">
        <v>250</v>
      </c>
      <c r="F293" s="50" t="n">
        <f aca="false">E293-D293</f>
        <v>0</v>
      </c>
      <c r="G293" s="34" t="n">
        <f aca="false">SUM(E293-D293)/D293</f>
        <v>0</v>
      </c>
    </row>
    <row r="294" s="28" customFormat="true" ht="14.25" hidden="false" customHeight="false" outlineLevel="2" collapsed="false">
      <c r="A294" s="59" t="s">
        <v>272</v>
      </c>
      <c r="B294" s="60" t="n">
        <f aca="false">SUM(B285:B293)</f>
        <v>14296</v>
      </c>
      <c r="C294" s="60" t="n">
        <f aca="false">SUM(C285:C293)</f>
        <v>8518.89</v>
      </c>
      <c r="D294" s="60" t="n">
        <f aca="false">SUM(D285:D293)</f>
        <v>13695.513984</v>
      </c>
      <c r="E294" s="60" t="n">
        <f aca="false">SUM(E285:E293)</f>
        <v>13670.569576</v>
      </c>
      <c r="F294" s="60" t="n">
        <f aca="false">E294-D294</f>
        <v>-24.9444080000012</v>
      </c>
      <c r="G294" s="61" t="n">
        <f aca="false">SUM(E294-D294)/D294</f>
        <v>-0.00182135610457139</v>
      </c>
      <c r="J294" s="29"/>
      <c r="K294" s="29"/>
    </row>
    <row r="295" s="28" customFormat="true" ht="14.25" hidden="false" customHeight="false" outlineLevel="2" collapsed="false">
      <c r="A295" s="30"/>
      <c r="B295" s="31"/>
      <c r="C295" s="32"/>
      <c r="D295" s="31"/>
      <c r="E295" s="31"/>
      <c r="F295" s="33"/>
      <c r="G295" s="34"/>
      <c r="J295" s="29"/>
      <c r="K295" s="29"/>
    </row>
    <row r="296" customFormat="false" ht="14.25" hidden="false" customHeight="false" outlineLevel="2" collapsed="false">
      <c r="A296" s="54" t="s">
        <v>273</v>
      </c>
      <c r="B296" s="55"/>
      <c r="C296" s="56"/>
      <c r="D296" s="55"/>
      <c r="E296" s="55"/>
      <c r="F296" s="57"/>
      <c r="G296" s="58"/>
    </row>
    <row r="297" customFormat="false" ht="14.25" hidden="false" customHeight="false" outlineLevel="3" collapsed="false">
      <c r="A297" s="82" t="s">
        <v>270</v>
      </c>
      <c r="B297" s="20" t="n">
        <v>0</v>
      </c>
      <c r="C297" s="50"/>
      <c r="D297" s="20" t="n">
        <v>0</v>
      </c>
      <c r="E297" s="63"/>
      <c r="F297" s="50" t="n">
        <f aca="false">E297-D297</f>
        <v>0</v>
      </c>
      <c r="G297" s="34" t="n">
        <v>0</v>
      </c>
    </row>
    <row r="298" customFormat="false" ht="14.25" hidden="false" customHeight="false" outlineLevel="3" collapsed="false">
      <c r="A298" s="82" t="s">
        <v>274</v>
      </c>
      <c r="B298" s="20" t="n">
        <v>800</v>
      </c>
      <c r="C298" s="50" t="n">
        <v>392.1</v>
      </c>
      <c r="D298" s="20" t="n">
        <v>800</v>
      </c>
      <c r="E298" s="20" t="n">
        <v>1200</v>
      </c>
      <c r="F298" s="50" t="n">
        <f aca="false">E298-D298</f>
        <v>400</v>
      </c>
      <c r="G298" s="34" t="n">
        <f aca="false">SUM(E298-D298)/D298</f>
        <v>0.5</v>
      </c>
    </row>
    <row r="299" customFormat="false" ht="14.25" hidden="false" customHeight="false" outlineLevel="3" collapsed="false">
      <c r="A299" s="82" t="s">
        <v>275</v>
      </c>
      <c r="B299" s="20" t="n">
        <v>150</v>
      </c>
      <c r="C299" s="50"/>
      <c r="D299" s="20" t="n">
        <v>150</v>
      </c>
      <c r="E299" s="63" t="n">
        <v>150</v>
      </c>
      <c r="F299" s="50" t="n">
        <f aca="false">E299-D299</f>
        <v>0</v>
      </c>
      <c r="G299" s="34" t="n">
        <f aca="false">SUM(E299-D299)/D299</f>
        <v>0</v>
      </c>
    </row>
    <row r="300" customFormat="false" ht="14.25" hidden="false" customHeight="false" outlineLevel="3" collapsed="false">
      <c r="A300" s="82" t="s">
        <v>276</v>
      </c>
      <c r="B300" s="20" t="n">
        <v>3500</v>
      </c>
      <c r="C300" s="50"/>
      <c r="D300" s="20" t="n">
        <v>3500</v>
      </c>
      <c r="E300" s="63" t="n">
        <v>3500</v>
      </c>
      <c r="F300" s="50" t="n">
        <f aca="false">E300-D300</f>
        <v>0</v>
      </c>
      <c r="G300" s="34" t="n">
        <f aca="false">SUM(E300-D300)/D300</f>
        <v>0</v>
      </c>
    </row>
    <row r="301" customFormat="false" ht="14.25" hidden="false" customHeight="false" outlineLevel="3" collapsed="false">
      <c r="A301" s="82" t="s">
        <v>277</v>
      </c>
      <c r="B301" s="20" t="n">
        <v>0</v>
      </c>
      <c r="C301" s="50"/>
      <c r="D301" s="20" t="n">
        <v>0</v>
      </c>
      <c r="E301" s="63"/>
      <c r="F301" s="50" t="n">
        <f aca="false">E301-D301</f>
        <v>0</v>
      </c>
      <c r="G301" s="34" t="n">
        <v>0</v>
      </c>
    </row>
    <row r="302" customFormat="false" ht="14.25" hidden="false" customHeight="false" outlineLevel="3" collapsed="false">
      <c r="A302" s="82" t="s">
        <v>278</v>
      </c>
      <c r="B302" s="20" t="n">
        <v>0</v>
      </c>
      <c r="C302" s="50"/>
      <c r="D302" s="20" t="n">
        <v>0</v>
      </c>
      <c r="E302" s="63"/>
      <c r="F302" s="50" t="n">
        <f aca="false">E302-D302</f>
        <v>0</v>
      </c>
      <c r="G302" s="34" t="n">
        <v>0</v>
      </c>
    </row>
    <row r="303" customFormat="false" ht="14.25" hidden="false" customHeight="false" outlineLevel="3" collapsed="false">
      <c r="A303" s="82" t="s">
        <v>279</v>
      </c>
      <c r="B303" s="20" t="n">
        <v>0</v>
      </c>
      <c r="C303" s="50"/>
      <c r="D303" s="20" t="n">
        <v>0</v>
      </c>
      <c r="E303" s="20"/>
      <c r="F303" s="50" t="n">
        <f aca="false">E303-D303</f>
        <v>0</v>
      </c>
      <c r="G303" s="34" t="n">
        <v>0</v>
      </c>
    </row>
    <row r="304" s="28" customFormat="true" ht="14.25" hidden="false" customHeight="false" outlineLevel="2" collapsed="false">
      <c r="A304" s="59" t="s">
        <v>280</v>
      </c>
      <c r="B304" s="60" t="n">
        <f aca="false">SUM(B297:B303)</f>
        <v>4450</v>
      </c>
      <c r="C304" s="60" t="n">
        <f aca="false">SUM(C297:C303)</f>
        <v>392.1</v>
      </c>
      <c r="D304" s="60" t="n">
        <f aca="false">SUM(D297:D303)</f>
        <v>4450</v>
      </c>
      <c r="E304" s="60" t="n">
        <f aca="false">SUM(E297:E303)</f>
        <v>4850</v>
      </c>
      <c r="F304" s="60" t="n">
        <f aca="false">E304-D304</f>
        <v>400</v>
      </c>
      <c r="G304" s="61" t="n">
        <f aca="false">SUM(E304-D304)/D304</f>
        <v>0.0898876404494382</v>
      </c>
      <c r="J304" s="29"/>
      <c r="K304" s="29"/>
    </row>
    <row r="305" s="28" customFormat="true" ht="14.25" hidden="false" customHeight="false" outlineLevel="2" collapsed="false">
      <c r="A305" s="30"/>
      <c r="B305" s="49"/>
      <c r="C305" s="49"/>
      <c r="D305" s="49"/>
      <c r="E305" s="49"/>
      <c r="F305" s="49"/>
      <c r="G305" s="34"/>
      <c r="J305" s="29"/>
      <c r="K305" s="29"/>
    </row>
    <row r="306" s="28" customFormat="true" ht="14.25" hidden="false" customHeight="false" outlineLevel="1" collapsed="false">
      <c r="A306" s="86" t="s">
        <v>281</v>
      </c>
      <c r="B306" s="87" t="n">
        <f aca="false">B304+B294+B282+B262+B256+B135+B103+B88+B79+B38</f>
        <v>1719506.999936</v>
      </c>
      <c r="C306" s="87" t="n">
        <f aca="false">C304+C294+C282+C262+C256+C135+C103+C88+C79+C38</f>
        <v>8452839.83</v>
      </c>
      <c r="D306" s="87" t="n">
        <f aca="false">D304+D294+D282+D262+D256+D135+D103+D88+D79+D38</f>
        <v>1925927.95017104</v>
      </c>
      <c r="E306" s="87" t="n">
        <f aca="false">E304+E294+E282+E262+E256+E135+E103+E88+E79+E38</f>
        <v>2135978.13516951</v>
      </c>
      <c r="F306" s="88" t="n">
        <f aca="false">E306-D306</f>
        <v>210050.18499847</v>
      </c>
      <c r="G306" s="89" t="n">
        <f aca="false">SUM(E306-D306)/D306</f>
        <v>0.109064404501641</v>
      </c>
      <c r="H306" s="90"/>
      <c r="J306" s="29"/>
      <c r="K306" s="29"/>
    </row>
    <row r="307" s="28" customFormat="true" ht="14.25" hidden="false" customHeight="false" outlineLevel="1" collapsed="false">
      <c r="A307" s="51"/>
      <c r="B307" s="91"/>
      <c r="C307" s="91"/>
      <c r="D307" s="91"/>
      <c r="E307" s="91"/>
      <c r="F307" s="91"/>
      <c r="G307" s="34"/>
      <c r="H307" s="92"/>
      <c r="J307" s="29"/>
      <c r="K307" s="29"/>
    </row>
    <row r="308" customFormat="false" ht="14.25" hidden="false" customHeight="false" outlineLevel="1" collapsed="false">
      <c r="A308" s="82"/>
      <c r="B308" s="93"/>
      <c r="C308" s="76"/>
      <c r="D308" s="93"/>
      <c r="E308" s="93"/>
      <c r="F308" s="33"/>
      <c r="G308" s="34"/>
    </row>
    <row r="309" customFormat="false" ht="14.25" hidden="false" customHeight="false" outlineLevel="1" collapsed="false">
      <c r="A309" s="94" t="s">
        <v>282</v>
      </c>
      <c r="B309" s="95"/>
      <c r="C309" s="95"/>
      <c r="D309" s="95"/>
      <c r="E309" s="95"/>
      <c r="F309" s="95"/>
      <c r="G309" s="96"/>
    </row>
    <row r="310" customFormat="false" ht="14.25" hidden="false" customHeight="false" outlineLevel="1" collapsed="false">
      <c r="A310" s="30" t="s">
        <v>34</v>
      </c>
      <c r="B310" s="44"/>
      <c r="C310" s="49"/>
      <c r="D310" s="44"/>
      <c r="E310" s="44"/>
      <c r="F310" s="49"/>
      <c r="G310" s="53"/>
    </row>
    <row r="311" customFormat="false" ht="14.25" hidden="false" customHeight="false" outlineLevel="1" collapsed="false">
      <c r="A311" s="62" t="s">
        <v>283</v>
      </c>
      <c r="B311" s="20" t="n">
        <v>30000</v>
      </c>
      <c r="C311" s="50" t="n">
        <v>30000</v>
      </c>
      <c r="D311" s="20" t="n">
        <v>10000</v>
      </c>
      <c r="E311" s="20" t="n">
        <v>10000</v>
      </c>
      <c r="F311" s="50" t="n">
        <f aca="false">E311-D311</f>
        <v>0</v>
      </c>
      <c r="G311" s="34" t="n">
        <f aca="false">SUM(E311-D311)/D311</f>
        <v>0</v>
      </c>
    </row>
    <row r="312" customFormat="false" ht="14.25" hidden="false" customHeight="false" outlineLevel="1" collapsed="false">
      <c r="A312" s="62" t="s">
        <v>284</v>
      </c>
      <c r="B312" s="50" t="n">
        <v>0</v>
      </c>
      <c r="C312" s="50"/>
      <c r="D312" s="50" t="n">
        <v>0</v>
      </c>
      <c r="E312" s="50"/>
      <c r="F312" s="50" t="n">
        <f aca="false">E312-D312</f>
        <v>0</v>
      </c>
      <c r="G312" s="34" t="n">
        <v>0</v>
      </c>
    </row>
    <row r="313" customFormat="false" ht="14.25" hidden="false" customHeight="false" outlineLevel="1" collapsed="false">
      <c r="A313" s="62" t="s">
        <v>285</v>
      </c>
      <c r="B313" s="50" t="n">
        <v>50000</v>
      </c>
      <c r="C313" s="50" t="n">
        <v>50000</v>
      </c>
      <c r="D313" s="50" t="n">
        <v>50000</v>
      </c>
      <c r="E313" s="50" t="n">
        <v>50000</v>
      </c>
      <c r="F313" s="50" t="n">
        <f aca="false">E313-D313</f>
        <v>0</v>
      </c>
      <c r="G313" s="34" t="n">
        <f aca="false">SUM(E313-D313)/D313</f>
        <v>0</v>
      </c>
    </row>
    <row r="314" customFormat="false" ht="14.25" hidden="false" customHeight="false" outlineLevel="1" collapsed="false">
      <c r="A314" s="62" t="s">
        <v>286</v>
      </c>
      <c r="B314" s="44"/>
      <c r="C314" s="49"/>
      <c r="D314" s="44"/>
      <c r="E314" s="21" t="n">
        <v>20000</v>
      </c>
      <c r="F314" s="50" t="n">
        <v>20000</v>
      </c>
      <c r="G314" s="34" t="n">
        <v>1</v>
      </c>
    </row>
    <row r="315" customFormat="false" ht="14.25" hidden="false" customHeight="false" outlineLevel="1" collapsed="false">
      <c r="A315" s="30" t="s">
        <v>287</v>
      </c>
      <c r="B315" s="44"/>
      <c r="C315" s="49"/>
      <c r="D315" s="44"/>
      <c r="E315" s="44"/>
      <c r="F315" s="50"/>
      <c r="G315" s="34"/>
    </row>
    <row r="316" customFormat="false" ht="14.25" hidden="false" customHeight="false" outlineLevel="1" collapsed="false">
      <c r="A316" s="62" t="s">
        <v>288</v>
      </c>
      <c r="B316" s="20" t="n">
        <v>5000</v>
      </c>
      <c r="C316" s="20" t="n">
        <v>5000</v>
      </c>
      <c r="D316" s="20" t="n">
        <v>5000</v>
      </c>
      <c r="E316" s="20" t="n">
        <v>5000</v>
      </c>
      <c r="F316" s="50" t="n">
        <f aca="false">E316-D316</f>
        <v>0</v>
      </c>
      <c r="G316" s="34" t="n">
        <f aca="false">SUM(E316-D316)/D316</f>
        <v>0</v>
      </c>
    </row>
    <row r="317" customFormat="false" ht="14.25" hidden="false" customHeight="false" outlineLevel="1" collapsed="false">
      <c r="A317" s="62" t="s">
        <v>289</v>
      </c>
      <c r="B317" s="21" t="n">
        <v>0</v>
      </c>
      <c r="C317" s="50"/>
      <c r="D317" s="21" t="n">
        <v>0</v>
      </c>
      <c r="E317" s="21"/>
      <c r="F317" s="50" t="n">
        <f aca="false">E317-D317</f>
        <v>0</v>
      </c>
      <c r="G317" s="34" t="n">
        <v>0</v>
      </c>
    </row>
    <row r="318" customFormat="false" ht="14.25" hidden="false" customHeight="false" outlineLevel="1" collapsed="false">
      <c r="A318" s="62" t="s">
        <v>290</v>
      </c>
      <c r="B318" s="20" t="n">
        <v>6000</v>
      </c>
      <c r="C318" s="50" t="n">
        <v>6000</v>
      </c>
      <c r="D318" s="20" t="n">
        <v>6000</v>
      </c>
      <c r="E318" s="20" t="n">
        <v>6000</v>
      </c>
      <c r="F318" s="50" t="n">
        <f aca="false">E318-D318</f>
        <v>0</v>
      </c>
      <c r="G318" s="34" t="n">
        <f aca="false">SUM(E318-D318)/D318</f>
        <v>0</v>
      </c>
    </row>
    <row r="319" customFormat="false" ht="14.25" hidden="false" customHeight="false" outlineLevel="1" collapsed="false">
      <c r="A319" s="62" t="s">
        <v>291</v>
      </c>
      <c r="B319" s="20" t="n">
        <v>30000</v>
      </c>
      <c r="C319" s="50" t="n">
        <v>30000</v>
      </c>
      <c r="D319" s="20" t="n">
        <v>30000</v>
      </c>
      <c r="E319" s="20" t="n">
        <v>30000</v>
      </c>
      <c r="F319" s="50" t="n">
        <f aca="false">E319-D319</f>
        <v>0</v>
      </c>
      <c r="G319" s="34" t="n">
        <f aca="false">SUM(E319-D319)/D319</f>
        <v>0</v>
      </c>
    </row>
    <row r="320" customFormat="false" ht="14.25" hidden="false" customHeight="false" outlineLevel="1" collapsed="false">
      <c r="A320" s="30"/>
      <c r="B320" s="44"/>
      <c r="C320" s="49"/>
      <c r="D320" s="44"/>
      <c r="E320" s="44"/>
      <c r="F320" s="50"/>
      <c r="G320" s="34"/>
    </row>
    <row r="321" customFormat="false" ht="14.25" hidden="false" customHeight="false" outlineLevel="1" collapsed="false">
      <c r="A321" s="30" t="s">
        <v>292</v>
      </c>
      <c r="B321" s="44"/>
      <c r="C321" s="49"/>
      <c r="D321" s="44"/>
      <c r="E321" s="44"/>
      <c r="F321" s="50"/>
      <c r="G321" s="34"/>
    </row>
    <row r="322" customFormat="false" ht="14.25" hidden="false" customHeight="false" outlineLevel="1" collapsed="false">
      <c r="A322" s="62" t="s">
        <v>293</v>
      </c>
      <c r="B322" s="50" t="n">
        <v>0</v>
      </c>
      <c r="C322" s="50" t="n">
        <v>0</v>
      </c>
      <c r="D322" s="50" t="n">
        <v>0</v>
      </c>
      <c r="E322" s="21"/>
      <c r="F322" s="50" t="n">
        <f aca="false">E322-D322</f>
        <v>0</v>
      </c>
      <c r="G322" s="34" t="n">
        <v>0</v>
      </c>
    </row>
    <row r="323" customFormat="false" ht="14.25" hidden="false" customHeight="false" outlineLevel="1" collapsed="false">
      <c r="A323" s="62" t="s">
        <v>294</v>
      </c>
      <c r="B323" s="50" t="n">
        <v>0</v>
      </c>
      <c r="C323" s="50"/>
      <c r="D323" s="50" t="n">
        <v>0</v>
      </c>
      <c r="E323" s="21"/>
      <c r="F323" s="50" t="n">
        <f aca="false">E323-D323</f>
        <v>0</v>
      </c>
      <c r="G323" s="34" t="n">
        <v>0</v>
      </c>
    </row>
    <row r="324" customFormat="false" ht="14.25" hidden="false" customHeight="false" outlineLevel="1" collapsed="false">
      <c r="A324" s="62" t="s">
        <v>295</v>
      </c>
      <c r="B324" s="50" t="n">
        <v>0</v>
      </c>
      <c r="C324" s="50"/>
      <c r="D324" s="50" t="n">
        <v>0</v>
      </c>
      <c r="E324" s="21"/>
      <c r="F324" s="50" t="n">
        <f aca="false">E324-D324</f>
        <v>0</v>
      </c>
      <c r="G324" s="34" t="n">
        <v>0</v>
      </c>
    </row>
    <row r="325" customFormat="false" ht="14.25" hidden="false" customHeight="false" outlineLevel="1" collapsed="false">
      <c r="A325" s="62" t="s">
        <v>296</v>
      </c>
      <c r="B325" s="50" t="n">
        <v>0</v>
      </c>
      <c r="C325" s="50"/>
      <c r="D325" s="50" t="n">
        <v>0</v>
      </c>
      <c r="E325" s="21"/>
      <c r="F325" s="50" t="n">
        <f aca="false">E325-D325</f>
        <v>0</v>
      </c>
      <c r="G325" s="34" t="n">
        <v>0</v>
      </c>
    </row>
    <row r="326" customFormat="false" ht="14.25" hidden="false" customHeight="false" outlineLevel="1" collapsed="false">
      <c r="A326" s="30" t="s">
        <v>297</v>
      </c>
      <c r="B326" s="50"/>
      <c r="C326" s="50"/>
      <c r="D326" s="50"/>
      <c r="E326" s="21"/>
      <c r="F326" s="50"/>
      <c r="G326" s="34"/>
    </row>
    <row r="327" customFormat="false" ht="14.25" hidden="false" customHeight="false" outlineLevel="1" collapsed="false">
      <c r="A327" s="62" t="s">
        <v>298</v>
      </c>
      <c r="B327" s="50" t="n">
        <v>0</v>
      </c>
      <c r="C327" s="50"/>
      <c r="D327" s="50" t="n">
        <v>0</v>
      </c>
      <c r="E327" s="21"/>
      <c r="F327" s="50" t="n">
        <f aca="false">E327-D327</f>
        <v>0</v>
      </c>
      <c r="G327" s="34" t="n">
        <v>0</v>
      </c>
    </row>
    <row r="328" customFormat="false" ht="14.25" hidden="false" customHeight="false" outlineLevel="1" collapsed="false">
      <c r="A328" s="62" t="s">
        <v>299</v>
      </c>
      <c r="B328" s="50" t="n">
        <v>5000</v>
      </c>
      <c r="C328" s="50" t="n">
        <v>5000</v>
      </c>
      <c r="D328" s="50" t="n">
        <v>0</v>
      </c>
      <c r="E328" s="21" t="n">
        <v>5000</v>
      </c>
      <c r="F328" s="50" t="n">
        <f aca="false">E328-D328</f>
        <v>5000</v>
      </c>
      <c r="G328" s="34" t="n">
        <v>1</v>
      </c>
    </row>
    <row r="329" customFormat="false" ht="14.25" hidden="false" customHeight="false" outlineLevel="1" collapsed="false">
      <c r="A329" s="97" t="s">
        <v>300</v>
      </c>
      <c r="B329" s="95" t="n">
        <f aca="false">SUM(B309:B328)</f>
        <v>126000</v>
      </c>
      <c r="C329" s="95" t="n">
        <f aca="false">SUM(C309:C328)</f>
        <v>126000</v>
      </c>
      <c r="D329" s="95" t="n">
        <f aca="false">SUM(D309:D328)</f>
        <v>101000</v>
      </c>
      <c r="E329" s="95" t="n">
        <f aca="false">SUM(E309:E328)</f>
        <v>126000</v>
      </c>
      <c r="F329" s="95" t="n">
        <f aca="false">SUM(F309:F328)</f>
        <v>25000</v>
      </c>
      <c r="G329" s="98" t="n">
        <f aca="false">SUM(E329-D329)/D329</f>
        <v>0.247524752475248</v>
      </c>
    </row>
    <row r="330" customFormat="false" ht="14.25" hidden="false" customHeight="false" outlineLevel="1" collapsed="false">
      <c r="A330" s="99" t="s">
        <v>301</v>
      </c>
      <c r="B330" s="100" t="n">
        <f aca="false">B306+B329</f>
        <v>1845506.999936</v>
      </c>
      <c r="C330" s="100" t="n">
        <f aca="false">C306+C329</f>
        <v>8578839.83</v>
      </c>
      <c r="D330" s="100" t="n">
        <f aca="false">D306+D329</f>
        <v>2026927.95017104</v>
      </c>
      <c r="E330" s="100" t="n">
        <f aca="false">E306+E329</f>
        <v>2261978.13516951</v>
      </c>
      <c r="F330" s="100" t="n">
        <f aca="false">F306+F329</f>
        <v>235050.18499847</v>
      </c>
      <c r="G330" s="101" t="n">
        <f aca="false">SUM(E330-D330)/D330</f>
        <v>0.115963759332756</v>
      </c>
    </row>
    <row r="331" customFormat="false" ht="14.25" hidden="false" customHeight="false" outlineLevel="1" collapsed="false">
      <c r="A331" s="82"/>
      <c r="B331" s="75"/>
      <c r="C331" s="76"/>
      <c r="D331" s="75"/>
      <c r="E331" s="75"/>
      <c r="F331" s="33"/>
      <c r="G331" s="34"/>
    </row>
    <row r="332" customFormat="false" ht="14.25" hidden="false" customHeight="false" outlineLevel="1" collapsed="false">
      <c r="A332" s="82"/>
      <c r="B332" s="75"/>
      <c r="C332" s="76"/>
      <c r="D332" s="75"/>
      <c r="E332" s="75"/>
      <c r="F332" s="33"/>
      <c r="G332" s="34"/>
    </row>
    <row r="333" customFormat="false" ht="14.25" hidden="false" customHeight="false" outlineLevel="1" collapsed="false">
      <c r="A333" s="102" t="s">
        <v>302</v>
      </c>
      <c r="B333" s="103"/>
      <c r="C333" s="104"/>
      <c r="D333" s="103"/>
      <c r="E333" s="103"/>
      <c r="F333" s="105"/>
      <c r="G333" s="106"/>
    </row>
    <row r="334" customFormat="false" ht="14.25" hidden="false" customHeight="false" outlineLevel="1" collapsed="false">
      <c r="A334" s="62" t="s">
        <v>303</v>
      </c>
      <c r="B334" s="20" t="n">
        <v>2500</v>
      </c>
      <c r="C334" s="20" t="n">
        <v>2500</v>
      </c>
      <c r="D334" s="20" t="n">
        <v>0</v>
      </c>
      <c r="E334" s="20" t="n">
        <v>5000</v>
      </c>
      <c r="F334" s="50" t="n">
        <f aca="false">E334-D334</f>
        <v>5000</v>
      </c>
      <c r="G334" s="34" t="e">
        <f aca="false">SUM(E334-D334)/D334</f>
        <v>#DIV/0!</v>
      </c>
    </row>
    <row r="335" customFormat="false" ht="14.25" hidden="false" customHeight="false" outlineLevel="1" collapsed="false">
      <c r="A335" s="62" t="s">
        <v>304</v>
      </c>
      <c r="B335" s="20" t="n">
        <v>850</v>
      </c>
      <c r="C335" s="20" t="n">
        <v>850</v>
      </c>
      <c r="D335" s="20" t="n">
        <v>850</v>
      </c>
      <c r="E335" s="20" t="n">
        <v>1050</v>
      </c>
      <c r="F335" s="50" t="n">
        <f aca="false">E335-D335</f>
        <v>200</v>
      </c>
      <c r="G335" s="34" t="n">
        <f aca="false">SUM(E335-D335)/D335</f>
        <v>0.235294117647059</v>
      </c>
    </row>
    <row r="336" customFormat="false" ht="14.25" hidden="false" customHeight="false" outlineLevel="1" collapsed="false">
      <c r="A336" s="62" t="s">
        <v>305</v>
      </c>
      <c r="B336" s="20" t="n">
        <v>4500</v>
      </c>
      <c r="C336" s="20" t="n">
        <v>4500</v>
      </c>
      <c r="D336" s="20" t="n">
        <v>4500</v>
      </c>
      <c r="E336" s="20" t="n">
        <v>4500</v>
      </c>
      <c r="F336" s="50" t="n">
        <f aca="false">E336-D336</f>
        <v>0</v>
      </c>
      <c r="G336" s="34" t="n">
        <f aca="false">SUM(E336-D336)/D336</f>
        <v>0</v>
      </c>
    </row>
    <row r="337" customFormat="false" ht="14.25" hidden="false" customHeight="false" outlineLevel="1" collapsed="false">
      <c r="A337" s="62" t="s">
        <v>306</v>
      </c>
      <c r="B337" s="20" t="n">
        <v>0</v>
      </c>
      <c r="C337" s="20" t="n">
        <v>0</v>
      </c>
      <c r="D337" s="20" t="n">
        <v>0</v>
      </c>
      <c r="E337" s="20"/>
      <c r="F337" s="50" t="n">
        <f aca="false">E337-D337</f>
        <v>0</v>
      </c>
      <c r="G337" s="34" t="e">
        <f aca="false">SUM(E337-D337)/D337</f>
        <v>#DIV/0!</v>
      </c>
    </row>
    <row r="338" customFormat="false" ht="14.25" hidden="false" customHeight="false" outlineLevel="1" collapsed="false">
      <c r="A338" s="62" t="s">
        <v>307</v>
      </c>
      <c r="B338" s="20" t="n">
        <v>1500</v>
      </c>
      <c r="C338" s="20" t="n">
        <v>1500</v>
      </c>
      <c r="D338" s="20" t="n">
        <v>1500</v>
      </c>
      <c r="E338" s="20" t="n">
        <v>1500</v>
      </c>
      <c r="F338" s="50" t="n">
        <f aca="false">E338-D338</f>
        <v>0</v>
      </c>
      <c r="G338" s="34" t="n">
        <f aca="false">SUM(E338-D338)/D338</f>
        <v>0</v>
      </c>
    </row>
    <row r="339" customFormat="false" ht="14.25" hidden="false" customHeight="false" outlineLevel="1" collapsed="false">
      <c r="A339" s="62" t="s">
        <v>308</v>
      </c>
      <c r="B339" s="20" t="n">
        <v>35580</v>
      </c>
      <c r="C339" s="20" t="n">
        <v>35580</v>
      </c>
      <c r="D339" s="20" t="n">
        <v>37359</v>
      </c>
      <c r="E339" s="20" t="n">
        <v>38480</v>
      </c>
      <c r="F339" s="50" t="n">
        <f aca="false">E339-D339</f>
        <v>1121</v>
      </c>
      <c r="G339" s="34" t="n">
        <f aca="false">SUM(E339-D339)/D339</f>
        <v>0.0300061564817045</v>
      </c>
    </row>
    <row r="340" customFormat="false" ht="14.25" hidden="false" customHeight="false" outlineLevel="1" collapsed="false">
      <c r="A340" s="62" t="s">
        <v>309</v>
      </c>
      <c r="B340" s="20" t="n">
        <v>4000</v>
      </c>
      <c r="C340" s="20" t="n">
        <v>4000</v>
      </c>
      <c r="D340" s="20" t="n">
        <v>6000</v>
      </c>
      <c r="E340" s="20" t="n">
        <v>6000</v>
      </c>
      <c r="F340" s="50" t="n">
        <f aca="false">E340-D340</f>
        <v>0</v>
      </c>
      <c r="G340" s="34" t="n">
        <f aca="false">SUM(E340-D340)/D340</f>
        <v>0</v>
      </c>
    </row>
    <row r="341" customFormat="false" ht="14.25" hidden="false" customHeight="false" outlineLevel="1" collapsed="false">
      <c r="A341" s="62" t="s">
        <v>310</v>
      </c>
      <c r="B341" s="20" t="n">
        <v>2500</v>
      </c>
      <c r="C341" s="20" t="n">
        <v>2500</v>
      </c>
      <c r="D341" s="20" t="n">
        <v>2500</v>
      </c>
      <c r="E341" s="107" t="n">
        <v>2500</v>
      </c>
      <c r="F341" s="50" t="n">
        <f aca="false">E341-D341</f>
        <v>0</v>
      </c>
      <c r="G341" s="34" t="n">
        <f aca="false">SUM(E341-D341)/D341</f>
        <v>0</v>
      </c>
    </row>
    <row r="342" customFormat="false" ht="14.25" hidden="false" customHeight="false" outlineLevel="1" collapsed="false">
      <c r="A342" s="62" t="s">
        <v>311</v>
      </c>
      <c r="B342" s="21" t="n">
        <v>10000</v>
      </c>
      <c r="C342" s="50" t="n">
        <v>10000</v>
      </c>
      <c r="D342" s="21" t="n">
        <v>7600</v>
      </c>
      <c r="E342" s="107" t="n">
        <v>7500</v>
      </c>
      <c r="F342" s="50" t="n">
        <f aca="false">E342-D342</f>
        <v>-100</v>
      </c>
      <c r="G342" s="34" t="n">
        <f aca="false">SUM(E342-D342)/D342</f>
        <v>-0.0131578947368421</v>
      </c>
    </row>
    <row r="343" customFormat="false" ht="14.25" hidden="false" customHeight="false" outlineLevel="1" collapsed="false">
      <c r="A343" s="62" t="s">
        <v>312</v>
      </c>
      <c r="B343" s="21" t="n">
        <v>250</v>
      </c>
      <c r="C343" s="50" t="n">
        <v>250</v>
      </c>
      <c r="D343" s="21" t="n">
        <v>250</v>
      </c>
      <c r="E343" s="107" t="n">
        <v>1000</v>
      </c>
      <c r="F343" s="50" t="n">
        <f aca="false">E343-D343</f>
        <v>750</v>
      </c>
      <c r="G343" s="34" t="n">
        <f aca="false">SUM(E343-D343)/D343</f>
        <v>3</v>
      </c>
    </row>
    <row r="344" customFormat="false" ht="14.25" hidden="false" customHeight="false" outlineLevel="1" collapsed="false">
      <c r="A344" s="62" t="s">
        <v>313</v>
      </c>
      <c r="B344" s="21" t="n">
        <v>65000</v>
      </c>
      <c r="C344" s="50" t="n">
        <v>48960.31</v>
      </c>
      <c r="D344" s="21" t="n">
        <v>0</v>
      </c>
      <c r="E344" s="107" t="n">
        <v>0</v>
      </c>
      <c r="F344" s="50" t="n">
        <f aca="false">E344-D344</f>
        <v>0</v>
      </c>
      <c r="G344" s="34" t="e">
        <f aca="false">SUM(E344-D344)/D344</f>
        <v>#DIV/0!</v>
      </c>
    </row>
    <row r="345" customFormat="false" ht="14.25" hidden="false" customHeight="false" outlineLevel="1" collapsed="false">
      <c r="A345" s="30" t="s">
        <v>314</v>
      </c>
      <c r="B345" s="20"/>
      <c r="C345" s="20"/>
      <c r="D345" s="20"/>
      <c r="E345" s="20"/>
      <c r="F345" s="50" t="n">
        <f aca="false">E345-D345</f>
        <v>0</v>
      </c>
      <c r="G345" s="34" t="e">
        <f aca="false">SUM(E345-D345)/D345</f>
        <v>#DIV/0!</v>
      </c>
    </row>
    <row r="346" customFormat="false" ht="14.25" hidden="false" customHeight="false" outlineLevel="2" collapsed="false">
      <c r="A346" s="62" t="s">
        <v>315</v>
      </c>
      <c r="B346" s="20" t="n">
        <v>250</v>
      </c>
      <c r="C346" s="20" t="n">
        <v>250</v>
      </c>
      <c r="D346" s="20" t="n">
        <v>250</v>
      </c>
      <c r="E346" s="20" t="n">
        <v>250</v>
      </c>
      <c r="F346" s="50" t="n">
        <f aca="false">E346-D346</f>
        <v>0</v>
      </c>
      <c r="G346" s="34" t="n">
        <f aca="false">SUM(E346-D346)/D346</f>
        <v>0</v>
      </c>
    </row>
    <row r="347" customFormat="false" ht="14.25" hidden="false" customHeight="false" outlineLevel="2" collapsed="false">
      <c r="A347" s="62" t="s">
        <v>316</v>
      </c>
      <c r="B347" s="20" t="n">
        <v>250</v>
      </c>
      <c r="C347" s="20" t="n">
        <v>250</v>
      </c>
      <c r="D347" s="20" t="n">
        <v>250</v>
      </c>
      <c r="E347" s="20" t="n">
        <v>250</v>
      </c>
      <c r="F347" s="50" t="n">
        <f aca="false">E347-D347</f>
        <v>0</v>
      </c>
      <c r="G347" s="34" t="n">
        <f aca="false">SUM(E347-D347)/D347</f>
        <v>0</v>
      </c>
    </row>
    <row r="348" customFormat="false" ht="14.25" hidden="false" customHeight="false" outlineLevel="2" collapsed="false">
      <c r="A348" s="62" t="s">
        <v>317</v>
      </c>
      <c r="B348" s="20" t="n">
        <v>250</v>
      </c>
      <c r="C348" s="20" t="n">
        <v>250</v>
      </c>
      <c r="D348" s="20" t="n">
        <v>250</v>
      </c>
      <c r="E348" s="20" t="n">
        <v>250</v>
      </c>
      <c r="F348" s="50" t="n">
        <f aca="false">E348-D348</f>
        <v>0</v>
      </c>
      <c r="G348" s="34" t="n">
        <f aca="false">SUM(E348-D348)/D348</f>
        <v>0</v>
      </c>
    </row>
    <row r="349" customFormat="false" ht="14.25" hidden="false" customHeight="false" outlineLevel="2" collapsed="false">
      <c r="A349" s="62" t="s">
        <v>318</v>
      </c>
      <c r="B349" s="20" t="n">
        <v>199</v>
      </c>
      <c r="C349" s="20" t="n">
        <v>199</v>
      </c>
      <c r="D349" s="20" t="n">
        <v>199</v>
      </c>
      <c r="E349" s="20" t="n">
        <v>199</v>
      </c>
      <c r="F349" s="50" t="n">
        <f aca="false">E349-D349</f>
        <v>0</v>
      </c>
      <c r="G349" s="34" t="n">
        <f aca="false">SUM(E349-D349)/D349</f>
        <v>0</v>
      </c>
    </row>
    <row r="350" customFormat="false" ht="14.25" hidden="false" customHeight="false" outlineLevel="2" collapsed="false">
      <c r="A350" s="62" t="s">
        <v>319</v>
      </c>
      <c r="B350" s="20" t="n">
        <v>250</v>
      </c>
      <c r="C350" s="20" t="n">
        <v>250</v>
      </c>
      <c r="D350" s="20" t="n">
        <v>250</v>
      </c>
      <c r="E350" s="20" t="n">
        <v>250</v>
      </c>
      <c r="F350" s="50" t="n">
        <f aca="false">E350-D350</f>
        <v>0</v>
      </c>
      <c r="G350" s="34" t="n">
        <f aca="false">SUM(E350-D350)/D350</f>
        <v>0</v>
      </c>
    </row>
    <row r="351" customFormat="false" ht="14.25" hidden="false" customHeight="false" outlineLevel="2" collapsed="false">
      <c r="A351" s="62" t="s">
        <v>320</v>
      </c>
      <c r="B351" s="20" t="n">
        <v>250</v>
      </c>
      <c r="C351" s="20" t="n">
        <v>250</v>
      </c>
      <c r="D351" s="20" t="n">
        <v>250</v>
      </c>
      <c r="E351" s="20" t="n">
        <v>250</v>
      </c>
      <c r="F351" s="50" t="n">
        <f aca="false">E351-D351</f>
        <v>0</v>
      </c>
      <c r="G351" s="34" t="n">
        <f aca="false">SUM(E351-D351)/D351</f>
        <v>0</v>
      </c>
    </row>
    <row r="352" customFormat="false" ht="14.25" hidden="false" customHeight="false" outlineLevel="2" collapsed="false">
      <c r="A352" s="62" t="s">
        <v>321</v>
      </c>
      <c r="B352" s="20" t="n">
        <v>250</v>
      </c>
      <c r="C352" s="20" t="n">
        <v>250</v>
      </c>
      <c r="D352" s="20" t="n">
        <v>250</v>
      </c>
      <c r="E352" s="20"/>
      <c r="F352" s="50" t="n">
        <f aca="false">E352-D352</f>
        <v>-250</v>
      </c>
      <c r="G352" s="34" t="n">
        <f aca="false">SUM(E352-D352)/D352</f>
        <v>-1</v>
      </c>
    </row>
    <row r="353" customFormat="false" ht="14.25" hidden="false" customHeight="false" outlineLevel="2" collapsed="false">
      <c r="A353" s="62" t="s">
        <v>322</v>
      </c>
      <c r="B353" s="20" t="n">
        <v>249</v>
      </c>
      <c r="C353" s="20" t="n">
        <v>250</v>
      </c>
      <c r="D353" s="20" t="n">
        <v>249</v>
      </c>
      <c r="E353" s="20" t="n">
        <v>249</v>
      </c>
      <c r="F353" s="50" t="n">
        <f aca="false">E353-D353</f>
        <v>0</v>
      </c>
      <c r="G353" s="34" t="n">
        <f aca="false">SUM(E353-D353)/D353</f>
        <v>0</v>
      </c>
    </row>
    <row r="354" customFormat="false" ht="14.25" hidden="false" customHeight="false" outlineLevel="2" collapsed="false">
      <c r="A354" s="62" t="s">
        <v>323</v>
      </c>
      <c r="B354" s="20" t="n">
        <v>100</v>
      </c>
      <c r="C354" s="20" t="n">
        <v>100</v>
      </c>
      <c r="D354" s="20" t="n">
        <v>100</v>
      </c>
      <c r="E354" s="20" t="n">
        <v>100</v>
      </c>
      <c r="F354" s="50" t="n">
        <f aca="false">E354-D354</f>
        <v>0</v>
      </c>
      <c r="G354" s="34" t="n">
        <f aca="false">SUM(E354-D354)/D354</f>
        <v>0</v>
      </c>
    </row>
    <row r="355" customFormat="false" ht="14.25" hidden="false" customHeight="false" outlineLevel="2" collapsed="false">
      <c r="A355" s="62" t="s">
        <v>324</v>
      </c>
      <c r="B355" s="20" t="n">
        <v>250</v>
      </c>
      <c r="C355" s="20" t="n">
        <v>250</v>
      </c>
      <c r="D355" s="20" t="n">
        <v>250</v>
      </c>
      <c r="E355" s="20" t="n">
        <v>250</v>
      </c>
      <c r="F355" s="50" t="n">
        <f aca="false">E355-D355</f>
        <v>0</v>
      </c>
      <c r="G355" s="34" t="n">
        <f aca="false">SUM(E355-D355)/D355</f>
        <v>0</v>
      </c>
    </row>
    <row r="356" customFormat="false" ht="14.25" hidden="false" customHeight="false" outlineLevel="2" collapsed="false">
      <c r="A356" s="62" t="s">
        <v>325</v>
      </c>
      <c r="B356" s="20" t="n">
        <v>250</v>
      </c>
      <c r="C356" s="20" t="n">
        <v>250</v>
      </c>
      <c r="D356" s="20" t="n">
        <v>250</v>
      </c>
      <c r="E356" s="20" t="n">
        <v>250</v>
      </c>
      <c r="F356" s="50" t="n">
        <f aca="false">E356-D356</f>
        <v>0</v>
      </c>
      <c r="G356" s="34" t="n">
        <f aca="false">SUM(E356-D356)/D356</f>
        <v>0</v>
      </c>
    </row>
    <row r="357" customFormat="false" ht="14.25" hidden="false" customHeight="false" outlineLevel="2" collapsed="false">
      <c r="A357" s="62" t="s">
        <v>326</v>
      </c>
      <c r="B357" s="20" t="n">
        <v>250</v>
      </c>
      <c r="C357" s="20" t="n">
        <v>250</v>
      </c>
      <c r="D357" s="20" t="n">
        <v>250</v>
      </c>
      <c r="E357" s="20" t="n">
        <v>250</v>
      </c>
      <c r="F357" s="50" t="n">
        <f aca="false">E357-D357</f>
        <v>0</v>
      </c>
      <c r="G357" s="34" t="n">
        <f aca="false">SUM(E357-D357)/D357</f>
        <v>0</v>
      </c>
    </row>
    <row r="358" customFormat="false" ht="14.25" hidden="false" customHeight="false" outlineLevel="2" collapsed="false">
      <c r="A358" s="62" t="s">
        <v>327</v>
      </c>
      <c r="B358" s="20" t="n">
        <v>249</v>
      </c>
      <c r="C358" s="20" t="n">
        <v>249</v>
      </c>
      <c r="D358" s="20" t="n">
        <v>249</v>
      </c>
      <c r="E358" s="20" t="n">
        <v>250</v>
      </c>
      <c r="F358" s="50" t="n">
        <f aca="false">E358-D358</f>
        <v>1</v>
      </c>
      <c r="G358" s="34" t="n">
        <f aca="false">SUM(E358-D358)/D358</f>
        <v>0.00401606425702811</v>
      </c>
    </row>
    <row r="359" customFormat="false" ht="14.25" hidden="false" customHeight="false" outlineLevel="2" collapsed="false">
      <c r="A359" s="62" t="s">
        <v>328</v>
      </c>
      <c r="B359" s="20" t="n">
        <v>195</v>
      </c>
      <c r="C359" s="20" t="n">
        <v>195</v>
      </c>
      <c r="D359" s="20" t="n">
        <v>195</v>
      </c>
      <c r="E359" s="20" t="n">
        <v>195</v>
      </c>
      <c r="F359" s="50" t="n">
        <f aca="false">E359-D359</f>
        <v>0</v>
      </c>
      <c r="G359" s="34" t="n">
        <f aca="false">SUM(E359-D359)/D359</f>
        <v>0</v>
      </c>
    </row>
    <row r="360" customFormat="false" ht="14.25" hidden="false" customHeight="false" outlineLevel="2" collapsed="false">
      <c r="A360" s="62" t="s">
        <v>329</v>
      </c>
      <c r="B360" s="20" t="n">
        <v>250</v>
      </c>
      <c r="C360" s="20" t="n">
        <v>250</v>
      </c>
      <c r="D360" s="20" t="n">
        <v>250</v>
      </c>
      <c r="E360" s="107"/>
      <c r="F360" s="50" t="n">
        <f aca="false">E360-D360</f>
        <v>-250</v>
      </c>
      <c r="G360" s="34" t="n">
        <f aca="false">SUM(E360-D360)/D360</f>
        <v>-1</v>
      </c>
    </row>
    <row r="361" customFormat="false" ht="14.25" hidden="false" customHeight="false" outlineLevel="2" collapsed="false">
      <c r="A361" s="62" t="s">
        <v>330</v>
      </c>
      <c r="B361" s="20" t="n">
        <v>250</v>
      </c>
      <c r="C361" s="20" t="n">
        <v>250</v>
      </c>
      <c r="D361" s="20" t="n">
        <v>250</v>
      </c>
      <c r="E361" s="20" t="n">
        <v>250</v>
      </c>
      <c r="F361" s="50" t="n">
        <f aca="false">E361-D361</f>
        <v>0</v>
      </c>
      <c r="G361" s="34" t="n">
        <f aca="false">SUM(E361-D361)/D361</f>
        <v>0</v>
      </c>
    </row>
    <row r="362" customFormat="false" ht="14.25" hidden="false" customHeight="false" outlineLevel="2" collapsed="false">
      <c r="A362" s="62" t="s">
        <v>331</v>
      </c>
      <c r="B362" s="20" t="n">
        <v>250</v>
      </c>
      <c r="C362" s="20" t="n">
        <v>250</v>
      </c>
      <c r="D362" s="20" t="n">
        <v>250</v>
      </c>
      <c r="E362" s="20" t="n">
        <v>250</v>
      </c>
      <c r="F362" s="50" t="n">
        <f aca="false">E362-D362</f>
        <v>0</v>
      </c>
      <c r="G362" s="34" t="n">
        <f aca="false">SUM(E362-D362)/D362</f>
        <v>0</v>
      </c>
    </row>
    <row r="363" customFormat="false" ht="14.25" hidden="false" customHeight="false" outlineLevel="1" collapsed="false">
      <c r="A363" s="81" t="s">
        <v>332</v>
      </c>
      <c r="B363" s="108" t="n">
        <f aca="false">SUM(B334:B362)</f>
        <v>130672</v>
      </c>
      <c r="C363" s="108" t="n">
        <f aca="false">SUM(C334:C362)</f>
        <v>114633.31</v>
      </c>
      <c r="D363" s="108" t="n">
        <v>64551</v>
      </c>
      <c r="E363" s="108" t="n">
        <f aca="false">SUM(E334:E362)</f>
        <v>71023</v>
      </c>
      <c r="F363" s="60" t="n">
        <f aca="false">SUM(F334:F362)</f>
        <v>6472</v>
      </c>
      <c r="G363" s="61" t="n">
        <f aca="false">SUM(E363-D363)/D363</f>
        <v>0.10026180849251</v>
      </c>
    </row>
    <row r="364" customFormat="false" ht="14.25" hidden="false" customHeight="false" outlineLevel="1" collapsed="false">
      <c r="A364" s="51"/>
      <c r="B364" s="75"/>
      <c r="C364" s="76"/>
      <c r="D364" s="75"/>
      <c r="E364" s="75"/>
      <c r="F364" s="33"/>
      <c r="G364" s="34"/>
    </row>
    <row r="365" s="28" customFormat="true" ht="14.25" hidden="false" customHeight="false" outlineLevel="0" collapsed="false">
      <c r="A365" s="109" t="s">
        <v>333</v>
      </c>
      <c r="B365" s="110" t="n">
        <f aca="false">B330+B363</f>
        <v>1976178.999936</v>
      </c>
      <c r="C365" s="110" t="n">
        <f aca="false">C330+C363</f>
        <v>8693473.14</v>
      </c>
      <c r="D365" s="110" t="n">
        <f aca="false">D330+D363</f>
        <v>2091478.95017104</v>
      </c>
      <c r="E365" s="110" t="n">
        <f aca="false">E330+E363</f>
        <v>2333001.13516951</v>
      </c>
      <c r="F365" s="110" t="n">
        <f aca="false">F330+F363</f>
        <v>241522.18499847</v>
      </c>
      <c r="G365" s="111" t="n">
        <f aca="false">SUM(E365-D365)/D365</f>
        <v>0.115479137372489</v>
      </c>
      <c r="I365" s="52"/>
      <c r="J365" s="29"/>
      <c r="K365" s="29"/>
    </row>
    <row r="367" customFormat="false" ht="14.25" hidden="false" customHeight="false" outlineLevel="0" collapsed="false">
      <c r="B367" s="65"/>
      <c r="C367" s="65"/>
    </row>
  </sheetData>
  <printOptions headings="true" gridLines="true" gridLinesSet="true" horizontalCentered="false" verticalCentered="false"/>
  <pageMargins left="0.25" right="0.25" top="0.75" bottom="0.75" header="0.3" footer="0.511811023622047"/>
  <pageSetup paperSize="5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>&amp;CPage &amp;P&amp;RFY 26/27 Comparative Budget</oddHeader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2" topLeftCell="A3" activePane="bottomLeft" state="frozen"/>
      <selection pane="topLeft" activeCell="A1" activeCellId="0" sqref="A1"/>
      <selection pane="bottomLeft" activeCell="M19" activeCellId="0" sqref="M19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1" width="37.88"/>
    <col collapsed="false" customWidth="true" hidden="false" outlineLevel="0" max="2" min="2" style="5" width="18.34"/>
    <col collapsed="false" customWidth="true" hidden="false" outlineLevel="0" max="3" min="3" style="1" width="10"/>
    <col collapsed="false" customWidth="true" hidden="false" outlineLevel="0" max="4" min="4" style="1" width="9.88"/>
    <col collapsed="false" customWidth="true" hidden="false" outlineLevel="0" max="6" min="6" style="1" width="22.67"/>
    <col collapsed="false" customWidth="true" hidden="false" outlineLevel="0" max="7" min="7" style="1" width="15.56"/>
    <col collapsed="false" customWidth="true" hidden="false" outlineLevel="0" max="8" min="8" style="1" width="22.67"/>
    <col collapsed="false" customWidth="true" hidden="false" outlineLevel="0" max="9" min="9" style="1" width="10.11"/>
    <col collapsed="false" customWidth="true" hidden="false" outlineLevel="0" max="10" min="10" style="1" width="9.33"/>
    <col collapsed="false" customWidth="true" hidden="false" outlineLevel="0" max="11" min="11" style="1" width="11.11"/>
    <col collapsed="false" customWidth="true" hidden="false" outlineLevel="0" max="12" min="12" style="112" width="11.11"/>
    <col collapsed="false" customWidth="true" hidden="false" outlineLevel="0" max="13" min="13" style="113" width="12.22"/>
    <col collapsed="false" customWidth="true" hidden="false" outlineLevel="0" max="14" min="14" style="114" width="10.56"/>
    <col collapsed="false" customWidth="true" hidden="false" outlineLevel="0" max="15" min="15" style="112" width="11.33"/>
    <col collapsed="false" customWidth="true" hidden="false" outlineLevel="0" max="16" min="16" style="1" width="12.67"/>
    <col collapsed="false" customWidth="true" hidden="false" outlineLevel="0" max="17" min="17" style="1" width="18.34"/>
  </cols>
  <sheetData>
    <row r="1" s="115" customFormat="true" ht="23.85" hidden="false" customHeight="true" outlineLevel="0" collapsed="false">
      <c r="B1" s="116" t="s">
        <v>334</v>
      </c>
      <c r="C1" s="117" t="s">
        <v>335</v>
      </c>
      <c r="D1" s="117"/>
      <c r="E1" s="115" t="s">
        <v>336</v>
      </c>
      <c r="G1" s="115" t="s">
        <v>337</v>
      </c>
      <c r="H1" s="115" t="s">
        <v>338</v>
      </c>
      <c r="I1" s="115" t="s">
        <v>339</v>
      </c>
      <c r="J1" s="115" t="s">
        <v>340</v>
      </c>
      <c r="K1" s="115" t="s">
        <v>199</v>
      </c>
      <c r="L1" s="118" t="s">
        <v>341</v>
      </c>
      <c r="M1" s="119" t="s">
        <v>342</v>
      </c>
      <c r="N1" s="120" t="s">
        <v>343</v>
      </c>
      <c r="O1" s="121" t="s">
        <v>344</v>
      </c>
      <c r="P1" s="115" t="s">
        <v>345</v>
      </c>
      <c r="Q1" s="115" t="s">
        <v>346</v>
      </c>
    </row>
    <row r="2" customFormat="false" ht="14.25" hidden="false" customHeight="false" outlineLevel="0" collapsed="false">
      <c r="A2" s="28"/>
      <c r="C2" s="122" t="n">
        <v>0.03</v>
      </c>
      <c r="D2" s="122"/>
      <c r="E2" s="112"/>
      <c r="G2" s="1" t="n">
        <v>250</v>
      </c>
      <c r="I2" s="123" t="n">
        <v>0.0765</v>
      </c>
      <c r="J2" s="64" t="n">
        <v>0.0044</v>
      </c>
      <c r="K2" s="124" t="n">
        <v>0.075</v>
      </c>
      <c r="L2" s="125" t="n">
        <v>0.009</v>
      </c>
      <c r="N2" s="126"/>
      <c r="O2" s="127"/>
    </row>
    <row r="3" customFormat="false" ht="14.25" hidden="false" customHeight="false" outlineLevel="0" collapsed="false">
      <c r="A3" s="28" t="s">
        <v>34</v>
      </c>
      <c r="K3" s="123"/>
      <c r="L3" s="128"/>
    </row>
    <row r="4" customFormat="false" ht="14.25" hidden="false" customHeight="false" outlineLevel="0" collapsed="false">
      <c r="A4" s="1" t="s">
        <v>347</v>
      </c>
      <c r="B4" s="5" t="n">
        <v>700</v>
      </c>
      <c r="C4" s="5" t="n">
        <f aca="false">SUM(B4)</f>
        <v>700</v>
      </c>
      <c r="D4" s="129" t="n">
        <f aca="false">B4</f>
        <v>700</v>
      </c>
      <c r="F4" s="129" t="n">
        <f aca="false">D4</f>
        <v>700</v>
      </c>
      <c r="H4" s="130" t="n">
        <f aca="false">F4+G4</f>
        <v>700</v>
      </c>
      <c r="I4" s="130" t="n">
        <f aca="false">H4*I2</f>
        <v>53.55</v>
      </c>
      <c r="J4" s="130" t="n">
        <f aca="false">H4*J2</f>
        <v>3.08</v>
      </c>
      <c r="K4" s="123"/>
      <c r="L4" s="128"/>
      <c r="Q4" s="130" t="n">
        <f aca="false">SUM(H4:N4,P4)</f>
        <v>756.63</v>
      </c>
    </row>
    <row r="5" customFormat="false" ht="14.25" hidden="false" customHeight="false" outlineLevel="0" collapsed="false">
      <c r="A5" s="1" t="s">
        <v>348</v>
      </c>
      <c r="B5" s="131" t="n">
        <v>700</v>
      </c>
      <c r="C5" s="5" t="n">
        <f aca="false">SUM(B5)</f>
        <v>700</v>
      </c>
      <c r="D5" s="129" t="n">
        <f aca="false">B5</f>
        <v>700</v>
      </c>
      <c r="F5" s="129" t="n">
        <f aca="false">D5</f>
        <v>700</v>
      </c>
      <c r="H5" s="130" t="n">
        <f aca="false">F5+G5</f>
        <v>700</v>
      </c>
      <c r="I5" s="130" t="n">
        <f aca="false">H5*I2</f>
        <v>53.55</v>
      </c>
      <c r="J5" s="130" t="n">
        <f aca="false">H5*J2</f>
        <v>3.08</v>
      </c>
      <c r="K5" s="123"/>
      <c r="L5" s="128"/>
      <c r="Q5" s="130" t="n">
        <f aca="false">SUM(H5:N5,P5)</f>
        <v>756.63</v>
      </c>
    </row>
    <row r="6" customFormat="false" ht="14.25" hidden="false" customHeight="false" outlineLevel="0" collapsed="false">
      <c r="A6" s="1" t="s">
        <v>349</v>
      </c>
      <c r="B6" s="131" t="n">
        <v>700</v>
      </c>
      <c r="C6" s="5" t="n">
        <f aca="false">SUM(B6)</f>
        <v>700</v>
      </c>
      <c r="D6" s="129" t="n">
        <f aca="false">B6</f>
        <v>700</v>
      </c>
      <c r="F6" s="129" t="n">
        <f aca="false">D6</f>
        <v>700</v>
      </c>
      <c r="H6" s="130" t="n">
        <f aca="false">F6+G6</f>
        <v>700</v>
      </c>
      <c r="I6" s="130" t="n">
        <f aca="false">H6*I2</f>
        <v>53.55</v>
      </c>
      <c r="J6" s="130" t="n">
        <f aca="false">H6*J2</f>
        <v>3.08</v>
      </c>
      <c r="K6" s="123"/>
      <c r="L6" s="128"/>
      <c r="Q6" s="130" t="n">
        <f aca="false">SUM(H6:N6,P6)</f>
        <v>756.63</v>
      </c>
    </row>
    <row r="7" customFormat="false" ht="14.25" hidden="false" customHeight="false" outlineLevel="0" collapsed="false">
      <c r="A7" s="1" t="s">
        <v>350</v>
      </c>
      <c r="B7" s="5" t="n">
        <v>700</v>
      </c>
      <c r="C7" s="5" t="n">
        <f aca="false">SUM(B7)</f>
        <v>700</v>
      </c>
      <c r="D7" s="129" t="n">
        <f aca="false">B7</f>
        <v>700</v>
      </c>
      <c r="F7" s="129" t="n">
        <f aca="false">D7</f>
        <v>700</v>
      </c>
      <c r="H7" s="130" t="n">
        <f aca="false">F7+G7</f>
        <v>700</v>
      </c>
      <c r="I7" s="130" t="n">
        <f aca="false">H7*I2</f>
        <v>53.55</v>
      </c>
      <c r="J7" s="130" t="n">
        <f aca="false">H7*J2</f>
        <v>3.08</v>
      </c>
      <c r="K7" s="123"/>
      <c r="L7" s="128"/>
      <c r="Q7" s="130" t="n">
        <f aca="false">SUM(H7:N7,P7)</f>
        <v>756.63</v>
      </c>
    </row>
    <row r="8" customFormat="false" ht="14.25" hidden="false" customHeight="false" outlineLevel="0" collapsed="false">
      <c r="A8" s="1" t="s">
        <v>351</v>
      </c>
      <c r="B8" s="5" t="n">
        <v>700</v>
      </c>
      <c r="C8" s="5" t="n">
        <f aca="false">SUM(B8)</f>
        <v>700</v>
      </c>
      <c r="D8" s="129" t="n">
        <f aca="false">B8</f>
        <v>700</v>
      </c>
      <c r="F8" s="129" t="n">
        <f aca="false">D8</f>
        <v>700</v>
      </c>
      <c r="H8" s="130" t="n">
        <f aca="false">F8+G8</f>
        <v>700</v>
      </c>
      <c r="I8" s="130" t="n">
        <f aca="false">H8*I2</f>
        <v>53.55</v>
      </c>
      <c r="J8" s="130" t="n">
        <f aca="false">H8*J2</f>
        <v>3.08</v>
      </c>
      <c r="K8" s="123"/>
      <c r="L8" s="128"/>
      <c r="Q8" s="130" t="n">
        <f aca="false">SUM(H8:N8,P8)</f>
        <v>756.63</v>
      </c>
    </row>
    <row r="9" customFormat="false" ht="14.25" hidden="false" customHeight="false" outlineLevel="0" collapsed="false">
      <c r="A9" s="1" t="s">
        <v>352</v>
      </c>
      <c r="B9" s="5" t="n">
        <v>37.79</v>
      </c>
      <c r="C9" s="126" t="n">
        <f aca="false">B9*C2</f>
        <v>1.1337</v>
      </c>
      <c r="D9" s="129" t="n">
        <f aca="false">B9+C9</f>
        <v>38.9237</v>
      </c>
      <c r="E9" s="1" t="n">
        <v>0</v>
      </c>
      <c r="F9" s="130" t="n">
        <f aca="false">(D9*E9)</f>
        <v>0</v>
      </c>
      <c r="H9" s="130" t="n">
        <f aca="false">F9+G9</f>
        <v>0</v>
      </c>
      <c r="I9" s="130" t="n">
        <f aca="false">H9*I2</f>
        <v>0</v>
      </c>
      <c r="J9" s="130" t="n">
        <f aca="false">H9*J2</f>
        <v>0</v>
      </c>
      <c r="K9" s="123" t="n">
        <v>0</v>
      </c>
      <c r="L9" s="114" t="n">
        <f aca="false">H9*L2</f>
        <v>0</v>
      </c>
      <c r="O9" s="112" t="n">
        <v>0.79</v>
      </c>
      <c r="P9" s="130" t="n">
        <f aca="false">O9*H9/100</f>
        <v>0</v>
      </c>
      <c r="Q9" s="130" t="n">
        <f aca="false">SUM(H9:N9,P9)</f>
        <v>0</v>
      </c>
    </row>
    <row r="10" customFormat="false" ht="14.25" hidden="false" customHeight="false" outlineLevel="0" collapsed="false">
      <c r="A10" s="1" t="s">
        <v>353</v>
      </c>
      <c r="B10" s="114" t="n">
        <v>0</v>
      </c>
      <c r="C10" s="5" t="n">
        <f aca="false">B10*C3</f>
        <v>0</v>
      </c>
      <c r="D10" s="129" t="n">
        <v>35</v>
      </c>
      <c r="E10" s="1" t="n">
        <v>2080</v>
      </c>
      <c r="F10" s="130" t="n">
        <f aca="false">(D10*E10)</f>
        <v>72800</v>
      </c>
      <c r="G10" s="130"/>
      <c r="H10" s="130" t="n">
        <f aca="false">F10+G10</f>
        <v>72800</v>
      </c>
      <c r="I10" s="130" t="n">
        <f aca="false">H10*I2</f>
        <v>5569.2</v>
      </c>
      <c r="J10" s="130" t="n">
        <f aca="false">H10*J2</f>
        <v>320.32</v>
      </c>
      <c r="K10" s="130" t="n">
        <f aca="false">H10*K2</f>
        <v>5460</v>
      </c>
      <c r="L10" s="132" t="n">
        <f aca="false">15000*L2</f>
        <v>135</v>
      </c>
      <c r="M10" s="133" t="n">
        <f aca="false">'Health Insurance'!I12</f>
        <v>31724.74</v>
      </c>
      <c r="N10" s="114" t="n">
        <f aca="false">37*12</f>
        <v>444</v>
      </c>
      <c r="O10" s="112" t="n">
        <v>0.79</v>
      </c>
      <c r="P10" s="130" t="n">
        <f aca="false">O10*H10/100</f>
        <v>575.12</v>
      </c>
      <c r="Q10" s="130" t="n">
        <f aca="false">SUM(H10:N10,P10)</f>
        <v>117028.38</v>
      </c>
    </row>
    <row r="11" customFormat="false" ht="14.25" hidden="false" customHeight="false" outlineLevel="0" collapsed="false">
      <c r="A11" s="1" t="s">
        <v>354</v>
      </c>
      <c r="B11" s="5" t="n">
        <v>25</v>
      </c>
      <c r="C11" s="126" t="n">
        <f aca="false">B11*C2</f>
        <v>0.75</v>
      </c>
      <c r="D11" s="129" t="n">
        <f aca="false">B11+C11</f>
        <v>25.75</v>
      </c>
      <c r="E11" s="1" t="n">
        <v>0</v>
      </c>
      <c r="F11" s="130" t="n">
        <f aca="false">(D11*E11)</f>
        <v>0</v>
      </c>
      <c r="G11" s="130"/>
      <c r="H11" s="130" t="n">
        <f aca="false">F11+G11</f>
        <v>0</v>
      </c>
      <c r="I11" s="130" t="n">
        <f aca="false">H11*I2</f>
        <v>0</v>
      </c>
      <c r="J11" s="130" t="n">
        <f aca="false">H11*J2</f>
        <v>0</v>
      </c>
      <c r="K11" s="130" t="n">
        <v>0</v>
      </c>
      <c r="L11" s="132" t="n">
        <f aca="false">F11*L2</f>
        <v>0</v>
      </c>
      <c r="M11" s="134" t="n">
        <v>0</v>
      </c>
      <c r="O11" s="112" t="n">
        <v>0.79</v>
      </c>
      <c r="P11" s="130" t="n">
        <f aca="false">O11*H11/100</f>
        <v>0</v>
      </c>
      <c r="Q11" s="130" t="n">
        <f aca="false">SUM(H11:N11,P11)</f>
        <v>0</v>
      </c>
    </row>
    <row r="12" s="28" customFormat="true" ht="14.25" hidden="false" customHeight="false" outlineLevel="0" collapsed="false">
      <c r="A12" s="135" t="s">
        <v>355</v>
      </c>
      <c r="B12" s="29"/>
      <c r="D12" s="136"/>
      <c r="F12" s="137"/>
      <c r="G12" s="137"/>
      <c r="H12" s="137" t="n">
        <f aca="false">SUM(H4:H11)</f>
        <v>76300</v>
      </c>
      <c r="I12" s="137" t="n">
        <f aca="false">SUM(I4:I11)</f>
        <v>5836.95</v>
      </c>
      <c r="J12" s="137" t="n">
        <f aca="false">SUM(J4:J11)</f>
        <v>335.72</v>
      </c>
      <c r="K12" s="137" t="n">
        <f aca="false">SUM(K4:K11)</f>
        <v>5460</v>
      </c>
      <c r="L12" s="138" t="n">
        <f aca="false">SUM(L4:L11)</f>
        <v>135</v>
      </c>
      <c r="M12" s="139" t="n">
        <f aca="false">SUM(M4:M11)</f>
        <v>31724.74</v>
      </c>
      <c r="N12" s="138" t="n">
        <f aca="false">SUM(N4:N11)</f>
        <v>444</v>
      </c>
      <c r="O12" s="138" t="s">
        <v>32</v>
      </c>
      <c r="P12" s="137" t="n">
        <f aca="false">SUM(P4:P11)</f>
        <v>575.12</v>
      </c>
      <c r="Q12" s="137" t="n">
        <f aca="false">SUM(Q4:Q11)</f>
        <v>120811.53</v>
      </c>
    </row>
    <row r="13" customFormat="false" ht="14.25" hidden="false" customHeight="false" outlineLevel="0" collapsed="false">
      <c r="D13" s="129"/>
      <c r="F13" s="130"/>
      <c r="G13" s="130"/>
      <c r="H13" s="130"/>
      <c r="I13" s="130"/>
      <c r="J13" s="130"/>
      <c r="K13" s="130"/>
      <c r="L13" s="132"/>
      <c r="M13" s="134"/>
      <c r="Q13" s="130"/>
    </row>
    <row r="14" customFormat="false" ht="14.25" hidden="false" customHeight="false" outlineLevel="0" collapsed="false">
      <c r="A14" s="28" t="s">
        <v>356</v>
      </c>
      <c r="D14" s="129"/>
      <c r="F14" s="130"/>
      <c r="G14" s="130"/>
      <c r="H14" s="130"/>
      <c r="I14" s="130"/>
      <c r="J14" s="130"/>
      <c r="K14" s="130"/>
      <c r="L14" s="132"/>
      <c r="Q14" s="130"/>
    </row>
    <row r="15" customFormat="false" ht="14.25" hidden="false" customHeight="false" outlineLevel="0" collapsed="false">
      <c r="A15" s="1" t="s">
        <v>357</v>
      </c>
      <c r="B15" s="126" t="n">
        <v>30</v>
      </c>
      <c r="C15" s="5" t="n">
        <f aca="false">B15*C2</f>
        <v>0.9</v>
      </c>
      <c r="D15" s="129" t="n">
        <f aca="false">B15+C15</f>
        <v>30.9</v>
      </c>
      <c r="E15" s="1" t="n">
        <v>1664</v>
      </c>
      <c r="F15" s="130" t="n">
        <f aca="false">(D15*E15)</f>
        <v>51417.6</v>
      </c>
      <c r="G15" s="130"/>
      <c r="H15" s="130" t="n">
        <f aca="false">F15+G15</f>
        <v>51417.6</v>
      </c>
      <c r="I15" s="130" t="n">
        <f aca="false">H15*I2</f>
        <v>3933.4464</v>
      </c>
      <c r="J15" s="130" t="n">
        <f aca="false">H15*J2</f>
        <v>226.23744</v>
      </c>
      <c r="K15" s="130" t="n">
        <f aca="false">H15*K2</f>
        <v>3856.32</v>
      </c>
      <c r="L15" s="132" t="n">
        <v>0</v>
      </c>
      <c r="M15" s="140" t="n">
        <f aca="false">'Health Insurance'!G12</f>
        <v>31724.736</v>
      </c>
      <c r="N15" s="114" t="n">
        <f aca="false">35*12</f>
        <v>420</v>
      </c>
      <c r="O15" s="112" t="n">
        <v>0.79</v>
      </c>
      <c r="P15" s="130" t="n">
        <f aca="false">O15*H15/100</f>
        <v>406.19904</v>
      </c>
      <c r="Q15" s="130" t="n">
        <f aca="false">SUM(H15:N15,P15)</f>
        <v>91984.53888</v>
      </c>
    </row>
    <row r="16" customFormat="false" ht="14.25" hidden="false" customHeight="false" outlineLevel="0" collapsed="false">
      <c r="A16" s="1" t="s">
        <v>358</v>
      </c>
      <c r="B16" s="5" t="n">
        <v>26</v>
      </c>
      <c r="C16" s="5" t="n">
        <f aca="false">B16*C2</f>
        <v>0.78</v>
      </c>
      <c r="D16" s="129" t="n">
        <f aca="false">B16+C16</f>
        <v>26.78</v>
      </c>
      <c r="E16" s="1" t="n">
        <v>416</v>
      </c>
      <c r="F16" s="130" t="n">
        <f aca="false">(D16*E16)</f>
        <v>11140.48</v>
      </c>
      <c r="G16" s="130"/>
      <c r="H16" s="130" t="n">
        <f aca="false">F16+G16</f>
        <v>11140.48</v>
      </c>
      <c r="I16" s="130" t="n">
        <f aca="false">H16*I2</f>
        <v>852.24672</v>
      </c>
      <c r="J16" s="130" t="n">
        <f aca="false">H16*J2</f>
        <v>49.018112</v>
      </c>
      <c r="K16" s="130" t="n">
        <v>0</v>
      </c>
      <c r="L16" s="132" t="n">
        <v>0</v>
      </c>
      <c r="M16" s="133" t="n">
        <v>0</v>
      </c>
      <c r="N16" s="114" t="n">
        <v>0</v>
      </c>
      <c r="O16" s="112" t="n">
        <v>0.79</v>
      </c>
      <c r="P16" s="130" t="n">
        <f aca="false">O16*H16/100</f>
        <v>88.009792</v>
      </c>
      <c r="Q16" s="130" t="n">
        <f aca="false">SUM(H16:N16,P16)</f>
        <v>12129.754624</v>
      </c>
    </row>
    <row r="17" customFormat="false" ht="14.25" hidden="false" customHeight="false" outlineLevel="0" collapsed="false">
      <c r="A17" s="1" t="s">
        <v>359</v>
      </c>
      <c r="B17" s="126" t="n">
        <v>37.79</v>
      </c>
      <c r="C17" s="5" t="n">
        <f aca="false">B17*C2</f>
        <v>1.1337</v>
      </c>
      <c r="D17" s="129" t="n">
        <f aca="false">B17+C17</f>
        <v>38.9237</v>
      </c>
      <c r="E17" s="1" t="n">
        <v>1664</v>
      </c>
      <c r="F17" s="130" t="n">
        <f aca="false">(D17*E17)</f>
        <v>64769.0368</v>
      </c>
      <c r="G17" s="130"/>
      <c r="H17" s="130" t="n">
        <f aca="false">F17+G17</f>
        <v>64769.0368</v>
      </c>
      <c r="I17" s="130" t="n">
        <f aca="false">H17*I2</f>
        <v>4954.8313152</v>
      </c>
      <c r="J17" s="130" t="n">
        <f aca="false">H17*J2</f>
        <v>284.98376192</v>
      </c>
      <c r="K17" s="130" t="n">
        <f aca="false">H17*K2</f>
        <v>4857.67776</v>
      </c>
      <c r="L17" s="132" t="n">
        <f aca="false">H17*L4</f>
        <v>0</v>
      </c>
      <c r="M17" s="133" t="n">
        <f aca="false">'Health Insurance'!H12</f>
        <v>31724.736</v>
      </c>
      <c r="N17" s="114" t="n">
        <f aca="false">35*12</f>
        <v>420</v>
      </c>
      <c r="O17" s="112" t="n">
        <v>0.79</v>
      </c>
      <c r="P17" s="130" t="n">
        <f aca="false">O17*H17/100</f>
        <v>511.67539072</v>
      </c>
      <c r="Q17" s="130" t="n">
        <f aca="false">SUM(H17:N17,P17)</f>
        <v>107522.94102784</v>
      </c>
    </row>
    <row r="18" customFormat="false" ht="14.25" hidden="false" customHeight="false" outlineLevel="0" collapsed="false">
      <c r="A18" s="127" t="s">
        <v>360</v>
      </c>
      <c r="B18" s="126" t="n">
        <v>36.4</v>
      </c>
      <c r="C18" s="126" t="n">
        <f aca="false">B18*C2</f>
        <v>1.092</v>
      </c>
      <c r="D18" s="141" t="n">
        <f aca="false">B18+C18</f>
        <v>37.492</v>
      </c>
      <c r="E18" s="127" t="n">
        <v>64</v>
      </c>
      <c r="F18" s="130" t="n">
        <f aca="false">(D18*E18)</f>
        <v>2399.488</v>
      </c>
      <c r="G18" s="130"/>
      <c r="H18" s="130" t="n">
        <f aca="false">F18+G18</f>
        <v>2399.488</v>
      </c>
      <c r="I18" s="130" t="n">
        <f aca="false">H18*I2</f>
        <v>183.560832</v>
      </c>
      <c r="J18" s="130" t="n">
        <f aca="false">H18*J2</f>
        <v>10.5577472</v>
      </c>
      <c r="K18" s="130"/>
      <c r="L18" s="132" t="n">
        <f aca="false">H18*L2</f>
        <v>21.595392</v>
      </c>
      <c r="M18" s="113" t="n">
        <v>0</v>
      </c>
      <c r="O18" s="112" t="n">
        <v>0.79</v>
      </c>
      <c r="P18" s="130" t="n">
        <f aca="false">O18*H18/100</f>
        <v>18.9559552</v>
      </c>
      <c r="Q18" s="130" t="n">
        <f aca="false">SUM(H18:N18,P18)</f>
        <v>2634.1579264</v>
      </c>
    </row>
    <row r="19" s="28" customFormat="true" ht="14.25" hidden="false" customHeight="false" outlineLevel="0" collapsed="false">
      <c r="A19" s="135" t="s">
        <v>361</v>
      </c>
      <c r="B19" s="29"/>
      <c r="D19" s="129"/>
      <c r="F19" s="137"/>
      <c r="G19" s="137"/>
      <c r="H19" s="137" t="n">
        <f aca="false">SUM(H15:H18)</f>
        <v>129726.6048</v>
      </c>
      <c r="I19" s="137" t="n">
        <f aca="false">SUM(I15:I18)</f>
        <v>9924.0852672</v>
      </c>
      <c r="J19" s="137" t="n">
        <f aca="false">SUM(J15:J18)</f>
        <v>570.79706112</v>
      </c>
      <c r="K19" s="137" t="n">
        <f aca="false">SUM(K15:K18)</f>
        <v>8713.99776</v>
      </c>
      <c r="L19" s="138" t="n">
        <f aca="false">SUM(L15:L18)</f>
        <v>21.595392</v>
      </c>
      <c r="M19" s="139" t="n">
        <f aca="false">SUM(M15:M18)</f>
        <v>63449.472</v>
      </c>
      <c r="N19" s="138" t="n">
        <f aca="false">SUM(N15:N18)</f>
        <v>840</v>
      </c>
      <c r="O19" s="112" t="s">
        <v>32</v>
      </c>
      <c r="P19" s="137" t="n">
        <f aca="false">SUM(P15:P18)</f>
        <v>1024.84017792</v>
      </c>
      <c r="Q19" s="137" t="n">
        <f aca="false">SUM(Q15:Q18)</f>
        <v>214271.39245824</v>
      </c>
    </row>
    <row r="20" s="28" customFormat="true" ht="14.25" hidden="false" customHeight="false" outlineLevel="0" collapsed="false">
      <c r="B20" s="29"/>
      <c r="D20" s="129"/>
      <c r="F20" s="137"/>
      <c r="G20" s="137"/>
      <c r="H20" s="137"/>
      <c r="I20" s="137"/>
      <c r="J20" s="137"/>
      <c r="K20" s="137"/>
      <c r="L20" s="138"/>
      <c r="M20" s="139"/>
      <c r="N20" s="142"/>
      <c r="O20" s="92"/>
      <c r="Q20" s="130"/>
    </row>
    <row r="21" s="28" customFormat="true" ht="14.25" hidden="false" customHeight="false" outlineLevel="0" collapsed="false">
      <c r="A21" s="28" t="s">
        <v>362</v>
      </c>
      <c r="B21" s="29"/>
      <c r="D21" s="129"/>
      <c r="F21" s="137"/>
      <c r="G21" s="137"/>
      <c r="H21" s="137"/>
      <c r="I21" s="137"/>
      <c r="J21" s="137"/>
      <c r="K21" s="137"/>
      <c r="L21" s="138"/>
      <c r="M21" s="143"/>
      <c r="N21" s="142"/>
      <c r="O21" s="92"/>
      <c r="Q21" s="130"/>
    </row>
    <row r="22" customFormat="false" ht="14.25" hidden="false" customHeight="false" outlineLevel="0" collapsed="false">
      <c r="A22" s="1" t="s">
        <v>363</v>
      </c>
      <c r="B22" s="5" t="n">
        <v>28.89</v>
      </c>
      <c r="C22" s="5" t="n">
        <f aca="false">B22*C2</f>
        <v>0.8667</v>
      </c>
      <c r="D22" s="129" t="n">
        <f aca="false">B22+C22</f>
        <v>29.7567</v>
      </c>
      <c r="E22" s="1" t="n">
        <v>520</v>
      </c>
      <c r="F22" s="130" t="n">
        <f aca="false">(D22*E22)</f>
        <v>15473.484</v>
      </c>
      <c r="G22" s="130"/>
      <c r="H22" s="130" t="n">
        <f aca="false">F22+G22</f>
        <v>15473.484</v>
      </c>
      <c r="I22" s="130" t="n">
        <f aca="false">H22*I2</f>
        <v>1183.721526</v>
      </c>
      <c r="J22" s="130" t="n">
        <f aca="false">H22*J2</f>
        <v>68.0833296</v>
      </c>
      <c r="K22" s="130"/>
      <c r="L22" s="132" t="n">
        <v>0</v>
      </c>
      <c r="Q22" s="130" t="n">
        <f aca="false">SUM(H22:N22,P22)</f>
        <v>16725.2888556</v>
      </c>
    </row>
    <row r="23" customFormat="false" ht="14.25" hidden="false" customHeight="false" outlineLevel="0" collapsed="false">
      <c r="A23" s="1" t="s">
        <v>364</v>
      </c>
      <c r="B23" s="5" t="n">
        <v>28.89</v>
      </c>
      <c r="C23" s="5" t="n">
        <f aca="false">B23*C2</f>
        <v>0.8667</v>
      </c>
      <c r="D23" s="129" t="n">
        <f aca="false">B23+C23</f>
        <v>29.7567</v>
      </c>
      <c r="E23" s="1" t="n">
        <v>520</v>
      </c>
      <c r="F23" s="130" t="n">
        <f aca="false">(D23*E23)</f>
        <v>15473.484</v>
      </c>
      <c r="G23" s="130"/>
      <c r="H23" s="130" t="n">
        <f aca="false">F23+G23</f>
        <v>15473.484</v>
      </c>
      <c r="I23" s="130" t="n">
        <f aca="false">H23*I2</f>
        <v>1183.721526</v>
      </c>
      <c r="J23" s="130" t="n">
        <f aca="false">H23*J2</f>
        <v>68.0833296</v>
      </c>
      <c r="K23" s="130"/>
      <c r="L23" s="132" t="n">
        <v>0</v>
      </c>
      <c r="Q23" s="130" t="n">
        <f aca="false">SUM(H23:N23,P23)</f>
        <v>16725.2888556</v>
      </c>
    </row>
    <row r="24" customFormat="false" ht="14.25" hidden="false" customHeight="false" outlineLevel="0" collapsed="false">
      <c r="A24" s="1" t="s">
        <v>365</v>
      </c>
      <c r="B24" s="5" t="n">
        <v>28.89</v>
      </c>
      <c r="C24" s="5" t="n">
        <f aca="false">B24*C2</f>
        <v>0.8667</v>
      </c>
      <c r="D24" s="129" t="n">
        <f aca="false">B24+C24</f>
        <v>29.7567</v>
      </c>
      <c r="E24" s="1" t="n">
        <v>520</v>
      </c>
      <c r="F24" s="130" t="n">
        <f aca="false">(D24*E24)</f>
        <v>15473.484</v>
      </c>
      <c r="G24" s="130"/>
      <c r="H24" s="130" t="n">
        <f aca="false">F24+G24</f>
        <v>15473.484</v>
      </c>
      <c r="I24" s="130" t="n">
        <f aca="false">H24*I2</f>
        <v>1183.721526</v>
      </c>
      <c r="J24" s="130" t="n">
        <f aca="false">H24*J2</f>
        <v>68.0833296</v>
      </c>
      <c r="K24" s="130"/>
      <c r="L24" s="132" t="n">
        <v>0</v>
      </c>
      <c r="Q24" s="130" t="n">
        <f aca="false">SUM(H24:N24,P24)</f>
        <v>16725.2888556</v>
      </c>
    </row>
    <row r="25" s="28" customFormat="true" ht="14.25" hidden="false" customHeight="false" outlineLevel="0" collapsed="false">
      <c r="A25" s="135" t="s">
        <v>366</v>
      </c>
      <c r="B25" s="29"/>
      <c r="D25" s="129"/>
      <c r="E25" s="28" t="n">
        <f aca="false">SUM(E22:E24)</f>
        <v>1560</v>
      </c>
      <c r="F25" s="137"/>
      <c r="G25" s="137"/>
      <c r="H25" s="137" t="n">
        <f aca="false">SUM(H22:H24)</f>
        <v>46420.452</v>
      </c>
      <c r="I25" s="137" t="n">
        <f aca="false">SUM(I22:I24)</f>
        <v>3551.164578</v>
      </c>
      <c r="J25" s="137" t="n">
        <f aca="false">SUM(J22:J24)</f>
        <v>204.2499888</v>
      </c>
      <c r="K25" s="137" t="n">
        <f aca="false">SUM(K22:K24)</f>
        <v>0</v>
      </c>
      <c r="L25" s="138" t="n">
        <f aca="false">SUM(L22:L24)</f>
        <v>0</v>
      </c>
      <c r="M25" s="139" t="n">
        <f aca="false">SUM(M22:M24)</f>
        <v>0</v>
      </c>
      <c r="N25" s="138" t="n">
        <f aca="false">SUM(N22:N24)</f>
        <v>0</v>
      </c>
      <c r="O25" s="112" t="n">
        <v>0.79</v>
      </c>
      <c r="P25" s="130" t="n">
        <f aca="false">O25*H25/100</f>
        <v>366.7215708</v>
      </c>
      <c r="Q25" s="137" t="n">
        <f aca="false">SUM(Q22:Q24)</f>
        <v>50175.8665668</v>
      </c>
    </row>
    <row r="26" s="28" customFormat="true" ht="14.25" hidden="false" customHeight="false" outlineLevel="0" collapsed="false">
      <c r="B26" s="29"/>
      <c r="D26" s="129"/>
      <c r="F26" s="137"/>
      <c r="G26" s="137"/>
      <c r="H26" s="137"/>
      <c r="I26" s="137"/>
      <c r="J26" s="137"/>
      <c r="K26" s="137"/>
      <c r="L26" s="138"/>
      <c r="M26" s="143"/>
      <c r="N26" s="142"/>
      <c r="O26" s="92"/>
      <c r="Q26" s="130"/>
    </row>
    <row r="27" s="28" customFormat="true" ht="14.25" hidden="false" customHeight="false" outlineLevel="0" collapsed="false">
      <c r="A27" s="28" t="s">
        <v>367</v>
      </c>
      <c r="B27" s="29"/>
      <c r="D27" s="129"/>
      <c r="F27" s="137"/>
      <c r="G27" s="137"/>
      <c r="H27" s="137"/>
      <c r="I27" s="137"/>
      <c r="J27" s="137"/>
      <c r="K27" s="137"/>
      <c r="L27" s="138"/>
      <c r="M27" s="139"/>
      <c r="N27" s="142"/>
      <c r="O27" s="92"/>
      <c r="Q27" s="130"/>
    </row>
    <row r="28" s="28" customFormat="true" ht="14.25" hidden="false" customHeight="false" outlineLevel="0" collapsed="false">
      <c r="A28" s="28" t="s">
        <v>368</v>
      </c>
      <c r="B28" s="126" t="n">
        <v>0</v>
      </c>
      <c r="C28" s="5" t="n">
        <f aca="false">B28*C2</f>
        <v>0</v>
      </c>
      <c r="D28" s="129" t="n">
        <f aca="false">B28+C28</f>
        <v>0</v>
      </c>
      <c r="E28" s="28" t="n">
        <v>100</v>
      </c>
      <c r="F28" s="130" t="n">
        <f aca="false">(D28*E28)</f>
        <v>0</v>
      </c>
      <c r="H28" s="137" t="n">
        <f aca="false">F28+G28</f>
        <v>0</v>
      </c>
      <c r="I28" s="130" t="n">
        <f aca="false">H28*I2</f>
        <v>0</v>
      </c>
      <c r="J28" s="130" t="n">
        <f aca="false">H28*J2</f>
        <v>0</v>
      </c>
      <c r="K28" s="28" t="n">
        <v>0</v>
      </c>
      <c r="L28" s="132" t="n">
        <v>0</v>
      </c>
      <c r="M28" s="134" t="n">
        <v>0</v>
      </c>
      <c r="N28" s="114" t="n">
        <v>0</v>
      </c>
      <c r="O28" s="112" t="n">
        <v>0.79</v>
      </c>
      <c r="P28" s="130" t="n">
        <f aca="false">O28*H28/100</f>
        <v>0</v>
      </c>
      <c r="Q28" s="130" t="n">
        <f aca="false">SUM(H28:N28,P28)</f>
        <v>0</v>
      </c>
    </row>
    <row r="29" s="28" customFormat="true" ht="14.25" hidden="false" customHeight="false" outlineLevel="0" collapsed="false">
      <c r="B29" s="29"/>
      <c r="D29" s="129"/>
      <c r="F29" s="137"/>
      <c r="G29" s="137"/>
      <c r="H29" s="137"/>
      <c r="I29" s="137"/>
      <c r="J29" s="137"/>
      <c r="K29" s="137"/>
      <c r="L29" s="138"/>
      <c r="M29" s="143"/>
      <c r="N29" s="142"/>
      <c r="O29" s="92"/>
      <c r="Q29" s="130"/>
    </row>
    <row r="30" s="28" customFormat="true" ht="14.25" hidden="false" customHeight="false" outlineLevel="0" collapsed="false">
      <c r="A30" s="28" t="s">
        <v>369</v>
      </c>
      <c r="B30" s="29"/>
      <c r="D30" s="129"/>
      <c r="F30" s="137"/>
      <c r="G30" s="137"/>
      <c r="H30" s="137"/>
      <c r="I30" s="137"/>
      <c r="J30" s="137"/>
      <c r="K30" s="137"/>
      <c r="L30" s="138"/>
      <c r="M30" s="139"/>
      <c r="N30" s="142"/>
      <c r="O30" s="92"/>
      <c r="Q30" s="130"/>
    </row>
    <row r="31" customFormat="false" ht="14.25" hidden="false" customHeight="false" outlineLevel="0" collapsed="false">
      <c r="A31" s="1" t="s">
        <v>370</v>
      </c>
      <c r="B31" s="5" t="n">
        <v>29.53</v>
      </c>
      <c r="C31" s="5" t="n">
        <f aca="false">B31*C2</f>
        <v>0.8859</v>
      </c>
      <c r="D31" s="129" t="n">
        <f aca="false">B31+C31</f>
        <v>30.4159</v>
      </c>
      <c r="E31" s="112" t="n">
        <v>160</v>
      </c>
      <c r="F31" s="130" t="n">
        <f aca="false">(D31*E31)</f>
        <v>4866.544</v>
      </c>
      <c r="H31" s="137" t="n">
        <f aca="false">F31+G31</f>
        <v>4866.544</v>
      </c>
      <c r="I31" s="130" t="n">
        <f aca="false">H31*I2</f>
        <v>372.290616</v>
      </c>
      <c r="J31" s="130" t="n">
        <f aca="false">H31*J2</f>
        <v>21.4127936</v>
      </c>
      <c r="K31" s="1" t="n">
        <v>0</v>
      </c>
      <c r="L31" s="132" t="n">
        <f aca="false">SUM(H31*L2)</f>
        <v>43.798896</v>
      </c>
      <c r="M31" s="134" t="n">
        <v>0</v>
      </c>
      <c r="N31" s="114" t="n">
        <v>0</v>
      </c>
      <c r="O31" s="112" t="n">
        <v>7.7</v>
      </c>
      <c r="P31" s="130" t="n">
        <f aca="false">O31*H31/100</f>
        <v>374.723888</v>
      </c>
      <c r="Q31" s="130" t="n">
        <f aca="false">SUM(H31:N31,P31)</f>
        <v>5678.7701936</v>
      </c>
    </row>
    <row r="32" customFormat="false" ht="14.25" hidden="false" customHeight="false" outlineLevel="0" collapsed="false">
      <c r="C32" s="144"/>
      <c r="D32" s="129"/>
      <c r="E32" s="112"/>
      <c r="F32" s="130"/>
      <c r="H32" s="130"/>
      <c r="I32" s="130"/>
      <c r="J32" s="130"/>
      <c r="Q32" s="130"/>
    </row>
    <row r="33" customFormat="false" ht="14.25" hidden="false" customHeight="false" outlineLevel="0" collapsed="false">
      <c r="A33" s="28" t="s">
        <v>371</v>
      </c>
      <c r="C33" s="144"/>
      <c r="D33" s="129"/>
      <c r="E33" s="112"/>
      <c r="F33" s="130"/>
      <c r="H33" s="137"/>
      <c r="I33" s="130"/>
      <c r="J33" s="130"/>
      <c r="M33" s="134"/>
      <c r="Q33" s="130"/>
    </row>
    <row r="34" customFormat="false" ht="14.25" hidden="false" customHeight="false" outlineLevel="0" collapsed="false">
      <c r="A34" s="1" t="s">
        <v>372</v>
      </c>
      <c r="B34" s="5" t="n">
        <v>29.53</v>
      </c>
      <c r="C34" s="5" t="n">
        <f aca="false">B34*C2</f>
        <v>0.8859</v>
      </c>
      <c r="D34" s="129" t="n">
        <f aca="false">B34+C34</f>
        <v>30.4159</v>
      </c>
      <c r="E34" s="112" t="n">
        <v>300</v>
      </c>
      <c r="F34" s="130" t="n">
        <f aca="false">(D34*E34)</f>
        <v>9124.77</v>
      </c>
      <c r="H34" s="137" t="n">
        <f aca="false">F34+G34</f>
        <v>9124.77</v>
      </c>
      <c r="I34" s="130" t="n">
        <f aca="false">H34*I2</f>
        <v>698.044905</v>
      </c>
      <c r="J34" s="130" t="n">
        <f aca="false">H34*J2</f>
        <v>40.148988</v>
      </c>
      <c r="K34" s="1" t="n">
        <v>0</v>
      </c>
      <c r="L34" s="132" t="n">
        <f aca="false">SUM(H34*L2)</f>
        <v>82.12293</v>
      </c>
      <c r="M34" s="134" t="n">
        <v>0</v>
      </c>
      <c r="N34" s="114" t="n">
        <v>0</v>
      </c>
      <c r="O34" s="112" t="n">
        <v>0.79</v>
      </c>
      <c r="P34" s="130" t="n">
        <f aca="false">O34*H34/100</f>
        <v>72.085683</v>
      </c>
      <c r="Q34" s="130" t="n">
        <f aca="false">SUM(H34:N34,P34)</f>
        <v>10017.172506</v>
      </c>
    </row>
    <row r="35" customFormat="false" ht="14.25" hidden="false" customHeight="false" outlineLevel="0" collapsed="false">
      <c r="A35" s="1" t="s">
        <v>373</v>
      </c>
      <c r="B35" s="5" t="n">
        <v>25</v>
      </c>
      <c r="C35" s="5" t="n">
        <v>0</v>
      </c>
      <c r="D35" s="129" t="n">
        <f aca="false">B35+C35</f>
        <v>25</v>
      </c>
      <c r="E35" s="112" t="n">
        <v>16</v>
      </c>
      <c r="F35" s="130" t="n">
        <f aca="false">(D35*E35)</f>
        <v>400</v>
      </c>
      <c r="H35" s="137" t="n">
        <f aca="false">F35+G35</f>
        <v>400</v>
      </c>
      <c r="I35" s="130" t="n">
        <f aca="false">H35*I2</f>
        <v>30.6</v>
      </c>
      <c r="J35" s="130" t="n">
        <f aca="false">H35*J2</f>
        <v>1.76</v>
      </c>
      <c r="K35" s="1" t="n">
        <v>0</v>
      </c>
      <c r="L35" s="132" t="n">
        <f aca="false">SUM(H35*L2)</f>
        <v>3.6</v>
      </c>
      <c r="M35" s="134" t="n">
        <v>0</v>
      </c>
      <c r="N35" s="114" t="n">
        <v>0</v>
      </c>
      <c r="O35" s="112" t="n">
        <v>0.79</v>
      </c>
      <c r="P35" s="130" t="n">
        <f aca="false">O35*H35/100</f>
        <v>3.16</v>
      </c>
      <c r="Q35" s="130" t="n">
        <f aca="false">SUM(H35:N35,P35)</f>
        <v>439.12</v>
      </c>
    </row>
    <row r="36" customFormat="false" ht="14.25" hidden="false" customHeight="false" outlineLevel="0" collapsed="false">
      <c r="C36" s="5"/>
      <c r="D36" s="129"/>
      <c r="E36" s="112"/>
      <c r="F36" s="130"/>
      <c r="H36" s="137" t="n">
        <f aca="false">SUM(H34:H35)</f>
        <v>9524.77</v>
      </c>
      <c r="I36" s="137" t="n">
        <f aca="false">SUM(I34:I35)</f>
        <v>728.644905</v>
      </c>
      <c r="J36" s="137" t="n">
        <f aca="false">SUM(J34:J35)</f>
        <v>41.908988</v>
      </c>
      <c r="K36" s="137" t="n">
        <f aca="false">SUM(K34:K35)</f>
        <v>0</v>
      </c>
      <c r="L36" s="138" t="n">
        <f aca="false">SUM(L34:L35)</f>
        <v>85.72293</v>
      </c>
      <c r="M36" s="139" t="n">
        <f aca="false">SUM(M34:M35)</f>
        <v>0</v>
      </c>
      <c r="N36" s="138" t="n">
        <f aca="false">SUM(N34:N35)</f>
        <v>0</v>
      </c>
      <c r="O36" s="138"/>
      <c r="P36" s="137" t="n">
        <f aca="false">SUM(P34:P35)</f>
        <v>75.245683</v>
      </c>
      <c r="Q36" s="137" t="n">
        <f aca="false">SUM(Q34:Q35)</f>
        <v>10456.292506</v>
      </c>
    </row>
    <row r="37" customFormat="false" ht="14.25" hidden="false" customHeight="false" outlineLevel="0" collapsed="false">
      <c r="A37" s="28"/>
      <c r="C37" s="144"/>
      <c r="D37" s="129"/>
      <c r="F37" s="130"/>
      <c r="H37" s="137"/>
      <c r="I37" s="130"/>
      <c r="J37" s="130"/>
      <c r="M37" s="134"/>
      <c r="Q37" s="130"/>
    </row>
    <row r="38" customFormat="false" ht="14.25" hidden="false" customHeight="false" outlineLevel="0" collapsed="false">
      <c r="A38" s="28" t="s">
        <v>374</v>
      </c>
      <c r="D38" s="129"/>
      <c r="F38" s="130"/>
      <c r="G38" s="130"/>
      <c r="H38" s="130"/>
      <c r="I38" s="130"/>
      <c r="J38" s="130"/>
      <c r="K38" s="130"/>
      <c r="L38" s="132"/>
      <c r="Q38" s="130"/>
    </row>
    <row r="39" customFormat="false" ht="14.25" hidden="false" customHeight="false" outlineLevel="0" collapsed="false">
      <c r="A39" s="1" t="s">
        <v>375</v>
      </c>
      <c r="B39" s="5" t="n">
        <v>34.07</v>
      </c>
      <c r="C39" s="5" t="n">
        <f aca="false">B39*C2</f>
        <v>1.0221</v>
      </c>
      <c r="D39" s="129" t="n">
        <f aca="false">B39+C39</f>
        <v>35.0921</v>
      </c>
      <c r="E39" s="1" t="n">
        <v>26</v>
      </c>
      <c r="F39" s="130" t="n">
        <f aca="false">(D39*E39)</f>
        <v>912.3946</v>
      </c>
      <c r="G39" s="130"/>
      <c r="H39" s="137" t="n">
        <f aca="false">F39+G39</f>
        <v>912.3946</v>
      </c>
      <c r="I39" s="130" t="n">
        <f aca="false">H39*I2</f>
        <v>69.7981869</v>
      </c>
      <c r="J39" s="130" t="n">
        <f aca="false">H39*J2</f>
        <v>4.01453624</v>
      </c>
      <c r="K39" s="130" t="n">
        <v>0</v>
      </c>
      <c r="L39" s="132" t="n">
        <f aca="false">H39*L2</f>
        <v>8.2115514</v>
      </c>
      <c r="M39" s="134" t="n">
        <v>0</v>
      </c>
      <c r="N39" s="114" t="n">
        <v>0</v>
      </c>
      <c r="O39" s="112" t="n">
        <v>0.79</v>
      </c>
      <c r="P39" s="130" t="n">
        <f aca="false">O39*H39/100</f>
        <v>7.20791734</v>
      </c>
      <c r="Q39" s="130" t="n">
        <f aca="false">SUM(H39:N39,P39)</f>
        <v>1001.62679188</v>
      </c>
    </row>
    <row r="40" customFormat="false" ht="14.25" hidden="false" customHeight="false" outlineLevel="0" collapsed="false">
      <c r="A40" s="28" t="s">
        <v>376</v>
      </c>
      <c r="D40" s="129"/>
      <c r="F40" s="130"/>
      <c r="G40" s="130"/>
      <c r="H40" s="130"/>
      <c r="I40" s="130"/>
      <c r="J40" s="130"/>
      <c r="K40" s="130"/>
      <c r="L40" s="132"/>
      <c r="Q40" s="130"/>
    </row>
    <row r="41" customFormat="false" ht="14.25" hidden="false" customHeight="false" outlineLevel="0" collapsed="false">
      <c r="A41" s="1" t="s">
        <v>377</v>
      </c>
      <c r="B41" s="5" t="n">
        <v>28.39</v>
      </c>
      <c r="C41" s="5" t="n">
        <f aca="false">B41*C2</f>
        <v>0.8517</v>
      </c>
      <c r="D41" s="129" t="n">
        <f aca="false">B41+C41</f>
        <v>29.2417</v>
      </c>
      <c r="E41" s="1" t="n">
        <v>26</v>
      </c>
      <c r="F41" s="130" t="n">
        <f aca="false">(D41*E41)</f>
        <v>760.2842</v>
      </c>
      <c r="G41" s="130"/>
      <c r="H41" s="137" t="n">
        <f aca="false">F41+G41</f>
        <v>760.2842</v>
      </c>
      <c r="I41" s="130" t="n">
        <f aca="false">H41*I2</f>
        <v>58.1617413</v>
      </c>
      <c r="J41" s="130" t="n">
        <f aca="false">H41*J2</f>
        <v>3.34525048</v>
      </c>
      <c r="K41" s="130" t="n">
        <v>0</v>
      </c>
      <c r="L41" s="132" t="n">
        <f aca="false">SUM(H41*L2)</f>
        <v>6.8425578</v>
      </c>
      <c r="M41" s="134" t="n">
        <v>0</v>
      </c>
      <c r="N41" s="114" t="n">
        <v>0</v>
      </c>
      <c r="O41" s="112" t="n">
        <v>7.78</v>
      </c>
      <c r="P41" s="130" t="n">
        <f aca="false">O41*H41/100</f>
        <v>59.15011076</v>
      </c>
      <c r="Q41" s="130" t="n">
        <f aca="false">SUM(H41:N41,P41)</f>
        <v>887.78386034</v>
      </c>
    </row>
    <row r="42" customFormat="false" ht="14.25" hidden="false" customHeight="false" outlineLevel="0" collapsed="false">
      <c r="C42" s="5"/>
      <c r="D42" s="129"/>
      <c r="F42" s="130"/>
      <c r="G42" s="130"/>
      <c r="H42" s="137" t="n">
        <f aca="false">SUM(H39:H41)</f>
        <v>1672.6788</v>
      </c>
      <c r="I42" s="137" t="n">
        <f aca="false">SUM(I39:I41)</f>
        <v>127.9599282</v>
      </c>
      <c r="J42" s="137" t="n">
        <f aca="false">SUM(J39:J41)</f>
        <v>7.35978672</v>
      </c>
      <c r="K42" s="137" t="n">
        <f aca="false">SUM(K39:K41)</f>
        <v>0</v>
      </c>
      <c r="L42" s="138" t="n">
        <f aca="false">SUM(L39:L41)</f>
        <v>15.0541092</v>
      </c>
      <c r="M42" s="139" t="n">
        <f aca="false">SUM(M39:M41)</f>
        <v>0</v>
      </c>
      <c r="N42" s="138" t="n">
        <f aca="false">SUM(N39:N41)</f>
        <v>0</v>
      </c>
      <c r="O42" s="138"/>
      <c r="P42" s="137" t="n">
        <f aca="false">SUM(P39:P41)</f>
        <v>66.3580281</v>
      </c>
      <c r="Q42" s="137" t="n">
        <f aca="false">SUM(Q41,Q39)</f>
        <v>1889.41065222</v>
      </c>
    </row>
    <row r="43" customFormat="false" ht="14.25" hidden="false" customHeight="false" outlineLevel="0" collapsed="false">
      <c r="A43" s="28"/>
      <c r="D43" s="129"/>
      <c r="F43" s="130"/>
      <c r="G43" s="130"/>
      <c r="H43" s="137"/>
      <c r="I43" s="130"/>
      <c r="J43" s="130"/>
      <c r="K43" s="130"/>
      <c r="L43" s="132"/>
      <c r="M43" s="134"/>
      <c r="Q43" s="130"/>
    </row>
    <row r="44" customFormat="false" ht="14.25" hidden="false" customHeight="false" outlineLevel="0" collapsed="false">
      <c r="A44" s="28" t="s">
        <v>378</v>
      </c>
      <c r="D44" s="129"/>
      <c r="F44" s="130"/>
      <c r="G44" s="130"/>
      <c r="H44" s="130"/>
      <c r="I44" s="130"/>
      <c r="J44" s="130"/>
      <c r="K44" s="130"/>
      <c r="L44" s="132"/>
      <c r="Q44" s="130"/>
    </row>
    <row r="45" customFormat="false" ht="14.25" hidden="false" customHeight="false" outlineLevel="0" collapsed="false">
      <c r="A45" s="1" t="s">
        <v>379</v>
      </c>
      <c r="B45" s="5" t="n">
        <v>37.03</v>
      </c>
      <c r="C45" s="5" t="n">
        <f aca="false">B45*C2</f>
        <v>1.1109</v>
      </c>
      <c r="D45" s="129" t="n">
        <f aca="false">B45+C45</f>
        <v>38.1409</v>
      </c>
      <c r="E45" s="1" t="n">
        <v>2080</v>
      </c>
      <c r="F45" s="130" t="n">
        <f aca="false">(D45*E45)</f>
        <v>79333.072</v>
      </c>
      <c r="G45" s="130" t="n">
        <f aca="false">D45*1.5*250</f>
        <v>14302.8375</v>
      </c>
      <c r="H45" s="130" t="n">
        <f aca="false">F45+G45</f>
        <v>93635.9095</v>
      </c>
      <c r="I45" s="130" t="n">
        <f aca="false">H45*I2</f>
        <v>7163.14707675</v>
      </c>
      <c r="J45" s="130" t="n">
        <f aca="false">H45*J2</f>
        <v>411.9980018</v>
      </c>
      <c r="K45" s="130" t="n">
        <f aca="false">H45*K2</f>
        <v>7022.6932125</v>
      </c>
      <c r="L45" s="145" t="n">
        <f aca="false">15000*L2</f>
        <v>135</v>
      </c>
      <c r="M45" s="140" t="n">
        <f aca="false">'Health Insurance'!S17</f>
        <v>0</v>
      </c>
      <c r="N45" s="114" t="n">
        <f aca="false">37*12</f>
        <v>444</v>
      </c>
      <c r="O45" s="112" t="n">
        <v>7.4</v>
      </c>
      <c r="P45" s="130" t="n">
        <f aca="false">H45*O45/100</f>
        <v>6929.057303</v>
      </c>
      <c r="Q45" s="130" t="n">
        <f aca="false">SUM(H45:N45,P45)</f>
        <v>115741.80509405</v>
      </c>
    </row>
    <row r="46" customFormat="false" ht="14.25" hidden="false" customHeight="false" outlineLevel="0" collapsed="false">
      <c r="A46" s="1" t="s">
        <v>380</v>
      </c>
      <c r="B46" s="5" t="n">
        <v>29.53</v>
      </c>
      <c r="C46" s="5" t="n">
        <f aca="false">B46*C2</f>
        <v>0.8859</v>
      </c>
      <c r="D46" s="129" t="n">
        <f aca="false">B46+C46</f>
        <v>30.4159</v>
      </c>
      <c r="E46" s="1" t="n">
        <v>2080</v>
      </c>
      <c r="F46" s="130" t="n">
        <f aca="false">(D46*E46)</f>
        <v>63265.072</v>
      </c>
      <c r="G46" s="130" t="n">
        <f aca="false">D46*1.5*250</f>
        <v>11405.9625</v>
      </c>
      <c r="H46" s="130" t="n">
        <f aca="false">F46+G46</f>
        <v>74671.0345</v>
      </c>
      <c r="I46" s="130" t="n">
        <f aca="false">H46*I2</f>
        <v>5712.33413925</v>
      </c>
      <c r="J46" s="130" t="n">
        <f aca="false">H46*J2</f>
        <v>328.5525518</v>
      </c>
      <c r="K46" s="130" t="n">
        <f aca="false">H46*K2</f>
        <v>5600.3275875</v>
      </c>
      <c r="L46" s="145" t="n">
        <f aca="false">15000*L2</f>
        <v>135</v>
      </c>
      <c r="M46" s="140" t="n">
        <f aca="false">'Health Insurance'!Q17</f>
        <v>0</v>
      </c>
      <c r="N46" s="114" t="n">
        <f aca="false">37*12</f>
        <v>444</v>
      </c>
      <c r="O46" s="112" t="n">
        <v>7.4</v>
      </c>
      <c r="P46" s="130" t="n">
        <f aca="false">H46*O46/100</f>
        <v>5525.656553</v>
      </c>
      <c r="Q46" s="130" t="n">
        <f aca="false">SUM(H46:N46,P46)</f>
        <v>92416.90533155</v>
      </c>
    </row>
    <row r="47" customFormat="false" ht="14.25" hidden="false" customHeight="false" outlineLevel="0" collapsed="false">
      <c r="A47" s="1" t="s">
        <v>381</v>
      </c>
      <c r="B47" s="5" t="n">
        <v>26</v>
      </c>
      <c r="C47" s="5" t="n">
        <f aca="false">B47*C2</f>
        <v>0.78</v>
      </c>
      <c r="D47" s="129" t="n">
        <f aca="false">B47+C47</f>
        <v>26.78</v>
      </c>
      <c r="E47" s="1" t="n">
        <v>2080</v>
      </c>
      <c r="F47" s="130" t="n">
        <f aca="false">(D47*E47)</f>
        <v>55702.4</v>
      </c>
      <c r="G47" s="130" t="n">
        <f aca="false">D47*1.5*250</f>
        <v>10042.5</v>
      </c>
      <c r="H47" s="130" t="n">
        <f aca="false">F47+G47</f>
        <v>65744.9</v>
      </c>
      <c r="I47" s="130" t="n">
        <f aca="false">H47*I2</f>
        <v>5029.48485</v>
      </c>
      <c r="J47" s="130" t="n">
        <f aca="false">H47*J2</f>
        <v>289.27756</v>
      </c>
      <c r="K47" s="130" t="n">
        <f aca="false">H47*K2</f>
        <v>4930.8675</v>
      </c>
      <c r="L47" s="145" t="n">
        <f aca="false">15000*L2</f>
        <v>135</v>
      </c>
      <c r="M47" s="140" t="n">
        <f aca="false">'Health Insurance'!R17</f>
        <v>0</v>
      </c>
      <c r="N47" s="114" t="n">
        <f aca="false">34*12</f>
        <v>408</v>
      </c>
      <c r="O47" s="112" t="n">
        <v>7.4</v>
      </c>
      <c r="P47" s="130" t="n">
        <f aca="false">H47*O47/100</f>
        <v>4865.1226</v>
      </c>
      <c r="Q47" s="130" t="n">
        <f aca="false">SUM(H47:N47,P47)</f>
        <v>81402.65251</v>
      </c>
    </row>
    <row r="48" customFormat="false" ht="14.25" hidden="false" customHeight="false" outlineLevel="0" collapsed="false">
      <c r="A48" s="1" t="s">
        <v>382</v>
      </c>
      <c r="B48" s="5" t="n">
        <v>24.75</v>
      </c>
      <c r="C48" s="5" t="n">
        <f aca="false">B48*C2</f>
        <v>0.7425</v>
      </c>
      <c r="D48" s="129" t="n">
        <f aca="false">B48+C48</f>
        <v>25.4925</v>
      </c>
      <c r="E48" s="1" t="n">
        <v>2080</v>
      </c>
      <c r="F48" s="130" t="n">
        <f aca="false">(D48*E48)</f>
        <v>53024.4</v>
      </c>
      <c r="G48" s="130" t="n">
        <f aca="false">D48*1.5*250</f>
        <v>9559.6875</v>
      </c>
      <c r="H48" s="130" t="n">
        <f aca="false">F48+G48</f>
        <v>62584.0875</v>
      </c>
      <c r="I48" s="130" t="n">
        <f aca="false">H48*I2</f>
        <v>4787.68269375</v>
      </c>
      <c r="J48" s="130" t="n">
        <f aca="false">H48*J2</f>
        <v>275.369985</v>
      </c>
      <c r="K48" s="130" t="n">
        <f aca="false">H48*K2</f>
        <v>4693.8065625</v>
      </c>
      <c r="L48" s="145" t="n">
        <f aca="false">15000*L2</f>
        <v>135</v>
      </c>
      <c r="M48" s="140" t="n">
        <f aca="false">'Health Insurance'!U17</f>
        <v>0</v>
      </c>
      <c r="N48" s="114" t="n">
        <f aca="false">33*12</f>
        <v>396</v>
      </c>
      <c r="O48" s="112" t="n">
        <v>7.4</v>
      </c>
      <c r="P48" s="130" t="n">
        <f aca="false">H48*O48/100</f>
        <v>4631.222475</v>
      </c>
      <c r="Q48" s="130" t="n">
        <f aca="false">SUM(H48:N48,P48)</f>
        <v>77503.16921625</v>
      </c>
    </row>
    <row r="49" customFormat="false" ht="14.25" hidden="false" customHeight="false" outlineLevel="0" collapsed="false">
      <c r="C49" s="5"/>
      <c r="D49" s="129"/>
      <c r="F49" s="130" t="n">
        <f aca="false">SUM(F45:F48)</f>
        <v>251324.944</v>
      </c>
      <c r="G49" s="130" t="n">
        <f aca="false">SUM(G45:G48)</f>
        <v>45310.9875</v>
      </c>
      <c r="H49" s="130" t="n">
        <f aca="false">SUM(H45:H48)</f>
        <v>296635.9315</v>
      </c>
      <c r="I49" s="130" t="n">
        <f aca="false">SUM(I45:I48)</f>
        <v>22692.64875975</v>
      </c>
      <c r="J49" s="130" t="n">
        <f aca="false">SUM(J45:J48)</f>
        <v>1305.1980986</v>
      </c>
      <c r="K49" s="130" t="n">
        <f aca="false">SUM(K45:K48)</f>
        <v>22247.6948625</v>
      </c>
      <c r="L49" s="130" t="n">
        <f aca="false">SUM(L45:L48)</f>
        <v>540</v>
      </c>
      <c r="M49" s="134" t="n">
        <f aca="false">SUM(M45:M48)</f>
        <v>0</v>
      </c>
      <c r="N49" s="130" t="n">
        <f aca="false">SUM(N45:N48)</f>
        <v>1692</v>
      </c>
      <c r="O49" s="130"/>
      <c r="P49" s="130" t="n">
        <f aca="false">SUM(P45:P48)</f>
        <v>21951.058931</v>
      </c>
      <c r="Q49" s="130" t="n">
        <f aca="false">SUM(Q45:Q48)</f>
        <v>367064.53215185</v>
      </c>
    </row>
    <row r="50" customFormat="false" ht="14.25" hidden="false" customHeight="false" outlineLevel="0" collapsed="false">
      <c r="A50" s="1" t="s">
        <v>383</v>
      </c>
      <c r="C50" s="5"/>
      <c r="D50" s="129" t="n">
        <v>60</v>
      </c>
      <c r="E50" s="1" t="n">
        <v>156</v>
      </c>
      <c r="F50" s="130" t="n">
        <f aca="false">(D50*E50)</f>
        <v>9360</v>
      </c>
      <c r="G50" s="130" t="n">
        <v>0</v>
      </c>
      <c r="H50" s="130" t="n">
        <f aca="false">F50+G50</f>
        <v>9360</v>
      </c>
      <c r="I50" s="130" t="n">
        <f aca="false">H50*I2</f>
        <v>716.04</v>
      </c>
      <c r="J50" s="130" t="n">
        <f aca="false">H50*J2</f>
        <v>41.184</v>
      </c>
      <c r="K50" s="130" t="n">
        <v>0</v>
      </c>
      <c r="L50" s="145" t="n">
        <f aca="false">H50*L2</f>
        <v>84.24</v>
      </c>
      <c r="M50" s="140" t="n">
        <v>0</v>
      </c>
      <c r="O50" s="112" t="n">
        <v>7.4</v>
      </c>
      <c r="P50" s="130" t="n">
        <f aca="false">H50*O50/100</f>
        <v>692.64</v>
      </c>
      <c r="Q50" s="130" t="n">
        <f aca="false">SUM(H50:N50,P50)</f>
        <v>10894.104</v>
      </c>
    </row>
    <row r="51" s="28" customFormat="true" ht="14.25" hidden="false" customHeight="false" outlineLevel="0" collapsed="false">
      <c r="A51" s="135" t="s">
        <v>384</v>
      </c>
      <c r="B51" s="29"/>
      <c r="D51" s="136"/>
      <c r="F51" s="137" t="n">
        <f aca="false">F49+F50</f>
        <v>260684.944</v>
      </c>
      <c r="G51" s="137" t="n">
        <f aca="false">G49+G50</f>
        <v>45310.9875</v>
      </c>
      <c r="H51" s="137" t="n">
        <f aca="false">H49+H50</f>
        <v>305995.9315</v>
      </c>
      <c r="I51" s="137" t="n">
        <f aca="false">I49+I50</f>
        <v>23408.68875975</v>
      </c>
      <c r="J51" s="137" t="n">
        <f aca="false">J49+J50</f>
        <v>1346.3820986</v>
      </c>
      <c r="K51" s="137" t="n">
        <f aca="false">K49+K50</f>
        <v>22247.6948625</v>
      </c>
      <c r="L51" s="137" t="n">
        <f aca="false">L49+L50</f>
        <v>624.24</v>
      </c>
      <c r="M51" s="139" t="n">
        <f aca="false">M49+M50</f>
        <v>0</v>
      </c>
      <c r="N51" s="137" t="n">
        <f aca="false">N49+N50</f>
        <v>1692</v>
      </c>
      <c r="O51" s="137"/>
      <c r="P51" s="137" t="n">
        <f aca="false">P49+P50</f>
        <v>22643.698931</v>
      </c>
      <c r="Q51" s="137" t="n">
        <f aca="false">Q49+Q50</f>
        <v>377958.63615185</v>
      </c>
    </row>
    <row r="52" customFormat="false" ht="14.25" hidden="false" customHeight="false" outlineLevel="0" collapsed="false">
      <c r="D52" s="129"/>
      <c r="H52" s="130"/>
      <c r="I52" s="130"/>
      <c r="J52" s="130"/>
      <c r="Q52" s="130"/>
    </row>
    <row r="53" customFormat="false" ht="14.25" hidden="false" customHeight="false" outlineLevel="0" collapsed="false">
      <c r="Q53" s="130"/>
    </row>
    <row r="54" customFormat="false" ht="14.25" hidden="false" customHeight="false" outlineLevel="0" collapsed="false">
      <c r="G54" s="135" t="s">
        <v>385</v>
      </c>
      <c r="H54" s="137" t="n">
        <f aca="false">SUM(H51+H41+H39 +H36+H31+H28+H25+H19+H12)</f>
        <v>574506.9811</v>
      </c>
      <c r="I54" s="137" t="n">
        <f aca="false">SUM(I51+I41+I39 +I36+I31+I28+I25+I19+I12)</f>
        <v>43949.78405415</v>
      </c>
      <c r="J54" s="137" t="n">
        <f aca="false">SUM(J51+J41+J39 +J36+J31+J28+J25+J19+J12)</f>
        <v>2527.83071684</v>
      </c>
      <c r="K54" s="137" t="n">
        <f aca="false">SUM(K51+K41+K39 +K36+K31+K28+K25+K19+K12)</f>
        <v>36421.6926225</v>
      </c>
      <c r="L54" s="138" t="n">
        <f aca="false">SUM(L51+L41+L39 +L36+L31+L28+L25+L19+L12)</f>
        <v>925.4113272</v>
      </c>
      <c r="M54" s="139" t="n">
        <f aca="false">SUM(M51+M41+M39 +M36+M31+M28+M25+M19+M12)</f>
        <v>95174.212</v>
      </c>
      <c r="N54" s="138" t="n">
        <f aca="false">SUM(N51+N41+N39 +N36+N31+N28+N25+N19+N12)</f>
        <v>2976</v>
      </c>
      <c r="O54" s="138"/>
      <c r="P54" s="137" t="n">
        <f aca="false">SUM(P51+P41+P39 +P36+P31+P28+P25+P19+P12)</f>
        <v>25126.70827882</v>
      </c>
      <c r="Q54" s="137" t="n">
        <f aca="false">SUM(Q51,Q42,Q36,Q19,Q12,Q31,Q28,Q25)</f>
        <v>781241.89852871</v>
      </c>
    </row>
    <row r="55" customFormat="false" ht="14.25" hidden="false" customHeight="false" outlineLevel="0" collapsed="false">
      <c r="Q55" s="130"/>
    </row>
    <row r="56" customFormat="false" ht="14.25" hidden="false" customHeight="false" outlineLevel="0" collapsed="false">
      <c r="Q56" s="130"/>
    </row>
  </sheetData>
  <mergeCells count="2">
    <mergeCell ref="C1:D1"/>
    <mergeCell ref="C2:D2"/>
  </mergeCells>
  <printOptions headings="false" gridLines="tru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9" activeCellId="0" sqref="K19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1" width="24.88"/>
    <col collapsed="false" customWidth="true" hidden="false" outlineLevel="0" max="4" min="2" style="1" width="11.11"/>
    <col collapsed="false" customWidth="true" hidden="false" outlineLevel="0" max="5" min="5" style="1" width="15.56"/>
    <col collapsed="false" customWidth="true" hidden="false" outlineLevel="0" max="6" min="6" style="1" width="15"/>
    <col collapsed="false" customWidth="true" hidden="false" outlineLevel="0" max="7" min="7" style="5" width="13.11"/>
    <col collapsed="false" customWidth="true" hidden="false" outlineLevel="0" max="9" min="8" style="1" width="14.88"/>
    <col collapsed="false" customWidth="true" hidden="false" outlineLevel="0" max="10" min="10" style="1" width="14.11"/>
    <col collapsed="false" customWidth="true" hidden="false" outlineLevel="0" max="11" min="11" style="1" width="11.89"/>
    <col collapsed="false" customWidth="true" hidden="false" outlineLevel="0" max="12" min="12" style="1" width="14.56"/>
    <col collapsed="false" customWidth="true" hidden="false" outlineLevel="0" max="13" min="13" style="1" width="12.44"/>
    <col collapsed="false" customWidth="true" hidden="false" outlineLevel="0" max="14" min="14" style="1" width="19.44"/>
    <col collapsed="false" customWidth="true" hidden="false" outlineLevel="0" max="22" min="15" style="1" width="15.56"/>
  </cols>
  <sheetData>
    <row r="1" customFormat="false" ht="14.25" hidden="false" customHeight="false" outlineLevel="0" collapsed="false">
      <c r="F1" s="1" t="s">
        <v>386</v>
      </c>
      <c r="L1" s="112"/>
    </row>
    <row r="2" customFormat="false" ht="14.25" hidden="false" customHeight="false" outlineLevel="0" collapsed="false">
      <c r="B2" s="146" t="s">
        <v>387</v>
      </c>
      <c r="C2" s="146" t="s">
        <v>388</v>
      </c>
      <c r="D2" s="146" t="s">
        <v>389</v>
      </c>
      <c r="G2" s="147" t="s">
        <v>357</v>
      </c>
      <c r="H2" s="147" t="s">
        <v>359</v>
      </c>
      <c r="I2" s="147" t="s">
        <v>390</v>
      </c>
      <c r="J2" s="147" t="s">
        <v>391</v>
      </c>
      <c r="K2" s="147" t="s">
        <v>392</v>
      </c>
      <c r="L2" s="147" t="s">
        <v>393</v>
      </c>
      <c r="M2" s="147" t="s">
        <v>391</v>
      </c>
      <c r="N2" s="146" t="s">
        <v>394</v>
      </c>
      <c r="O2" s="146" t="s">
        <v>395</v>
      </c>
    </row>
    <row r="3" customFormat="false" ht="14.25" hidden="false" customHeight="false" outlineLevel="0" collapsed="false">
      <c r="A3" s="1" t="s">
        <v>396</v>
      </c>
      <c r="B3" s="5" t="n">
        <v>963.65</v>
      </c>
      <c r="C3" s="5" t="n">
        <v>1073.74</v>
      </c>
      <c r="D3" s="5" t="n">
        <v>870.03</v>
      </c>
      <c r="G3" s="147" t="s">
        <v>397</v>
      </c>
      <c r="H3" s="147" t="s">
        <v>397</v>
      </c>
      <c r="I3" s="147" t="s">
        <v>397</v>
      </c>
      <c r="J3" s="147" t="s">
        <v>397</v>
      </c>
      <c r="K3" s="147" t="s">
        <v>396</v>
      </c>
      <c r="L3" s="147" t="s">
        <v>397</v>
      </c>
      <c r="M3" s="147" t="s">
        <v>396</v>
      </c>
      <c r="N3" s="147" t="s">
        <v>397</v>
      </c>
      <c r="O3" s="5"/>
    </row>
    <row r="4" customFormat="false" ht="14.25" hidden="false" customHeight="false" outlineLevel="0" collapsed="false">
      <c r="A4" s="1" t="s">
        <v>398</v>
      </c>
      <c r="B4" s="5" t="n">
        <v>1927.3</v>
      </c>
      <c r="C4" s="5" t="n">
        <v>2147.48</v>
      </c>
      <c r="D4" s="5" t="n">
        <v>1740.06</v>
      </c>
      <c r="N4" s="5"/>
      <c r="O4" s="5"/>
    </row>
    <row r="5" customFormat="false" ht="14.25" hidden="false" customHeight="false" outlineLevel="0" collapsed="false">
      <c r="A5" s="1" t="s">
        <v>399</v>
      </c>
      <c r="B5" s="5" t="n">
        <v>1859.84</v>
      </c>
      <c r="C5" s="5" t="n">
        <v>2072.32</v>
      </c>
      <c r="D5" s="5" t="n">
        <v>1679.16</v>
      </c>
      <c r="F5" s="148" t="s">
        <v>400</v>
      </c>
      <c r="G5" s="5" t="n">
        <f aca="false">C4*12</f>
        <v>25769.76</v>
      </c>
      <c r="H5" s="5" t="n">
        <f aca="false">C4*12</f>
        <v>25769.76</v>
      </c>
      <c r="I5" s="5" t="n">
        <f aca="false">C4*12</f>
        <v>25769.76</v>
      </c>
      <c r="J5" s="5" t="n">
        <f aca="false">C4*12</f>
        <v>25769.76</v>
      </c>
      <c r="K5" s="5" t="n">
        <f aca="false">C3*12</f>
        <v>12884.88</v>
      </c>
      <c r="L5" s="5" t="n">
        <f aca="false">C4*12</f>
        <v>25769.76</v>
      </c>
      <c r="M5" s="5" t="n">
        <f aca="false">C3*12</f>
        <v>12884.88</v>
      </c>
      <c r="N5" s="5" t="n">
        <f aca="false">C4*12</f>
        <v>25769.76</v>
      </c>
      <c r="O5" s="5" t="n">
        <f aca="false">SUM(G5:N5)</f>
        <v>180388.32</v>
      </c>
    </row>
    <row r="6" customFormat="false" ht="14.25" hidden="false" customHeight="false" outlineLevel="0" collapsed="false">
      <c r="A6" s="1" t="s">
        <v>401</v>
      </c>
      <c r="B6" s="5" t="n">
        <v>2700</v>
      </c>
      <c r="C6" s="5" t="n">
        <v>3017.21</v>
      </c>
      <c r="D6" s="5" t="n">
        <v>2444.78</v>
      </c>
      <c r="F6" s="149" t="s">
        <v>402</v>
      </c>
      <c r="G6" s="5" t="n">
        <v>924</v>
      </c>
      <c r="H6" s="5" t="n">
        <v>924</v>
      </c>
      <c r="I6" s="5" t="n">
        <v>924</v>
      </c>
      <c r="J6" s="5" t="n">
        <v>924</v>
      </c>
      <c r="K6" s="5" t="n">
        <v>492</v>
      </c>
      <c r="L6" s="5" t="n">
        <v>924</v>
      </c>
      <c r="M6" s="5" t="n">
        <v>492</v>
      </c>
      <c r="N6" s="5" t="n">
        <v>924</v>
      </c>
      <c r="O6" s="5" t="n">
        <f aca="false">SUM(G6:N6)</f>
        <v>6528</v>
      </c>
    </row>
    <row r="7" customFormat="false" ht="14.25" hidden="false" customHeight="false" outlineLevel="0" collapsed="false">
      <c r="B7" s="5"/>
      <c r="C7" s="5"/>
      <c r="D7" s="5"/>
      <c r="F7" s="149" t="s">
        <v>403</v>
      </c>
      <c r="G7" s="5" t="n">
        <v>104</v>
      </c>
      <c r="H7" s="5" t="n">
        <v>104</v>
      </c>
      <c r="I7" s="5" t="n">
        <v>104</v>
      </c>
      <c r="J7" s="5" t="n">
        <v>104</v>
      </c>
      <c r="K7" s="5" t="n">
        <v>55</v>
      </c>
      <c r="L7" s="5" t="n">
        <v>104</v>
      </c>
      <c r="M7" s="5" t="n">
        <v>55</v>
      </c>
      <c r="N7" s="5" t="n">
        <v>104</v>
      </c>
      <c r="O7" s="5" t="n">
        <f aca="false">SUM(G7:N7)</f>
        <v>734</v>
      </c>
    </row>
    <row r="8" customFormat="false" ht="14.25" hidden="false" customHeight="false" outlineLevel="0" collapsed="false">
      <c r="A8" s="1" t="s">
        <v>404</v>
      </c>
      <c r="B8" s="5" t="n">
        <v>1850</v>
      </c>
      <c r="C8" s="5" t="n">
        <v>1850</v>
      </c>
      <c r="D8" s="5" t="n">
        <v>1850</v>
      </c>
      <c r="F8" s="148"/>
      <c r="G8" s="5" t="n">
        <f aca="false">SUM(G5:G7)</f>
        <v>26797.76</v>
      </c>
      <c r="H8" s="5" t="n">
        <f aca="false">SUM(H5:H7)</f>
        <v>26797.76</v>
      </c>
      <c r="I8" s="5" t="n">
        <f aca="false">SUM(I5:I7)</f>
        <v>26797.76</v>
      </c>
      <c r="J8" s="5" t="n">
        <f aca="false">SUM(J5:J7)</f>
        <v>26797.76</v>
      </c>
      <c r="K8" s="5" t="n">
        <f aca="false">SUM(K5:K7)</f>
        <v>13431.88</v>
      </c>
      <c r="L8" s="5" t="n">
        <f aca="false">SUM(L5:L7)</f>
        <v>26797.76</v>
      </c>
      <c r="M8" s="5" t="n">
        <f aca="false">SUM(M5:M7)</f>
        <v>13431.88</v>
      </c>
      <c r="N8" s="5" t="n">
        <f aca="false">SUM(N5:N7)</f>
        <v>26797.76</v>
      </c>
      <c r="O8" s="5" t="n">
        <f aca="false">SUM(G8:N8)</f>
        <v>187650.32</v>
      </c>
    </row>
    <row r="9" customFormat="false" ht="14.25" hidden="false" customHeight="false" outlineLevel="0" collapsed="false">
      <c r="A9" s="1" t="s">
        <v>405</v>
      </c>
      <c r="B9" s="5" t="n">
        <v>2350</v>
      </c>
      <c r="C9" s="5" t="n">
        <v>2350</v>
      </c>
      <c r="D9" s="5" t="n">
        <v>2350</v>
      </c>
      <c r="F9" s="148" t="s">
        <v>406</v>
      </c>
      <c r="G9" s="5" t="n">
        <v>2350</v>
      </c>
      <c r="H9" s="5" t="n">
        <v>2350</v>
      </c>
      <c r="I9" s="5" t="n">
        <v>2350</v>
      </c>
      <c r="J9" s="5" t="n">
        <v>2350</v>
      </c>
      <c r="K9" s="5" t="n">
        <v>1850</v>
      </c>
      <c r="L9" s="5" t="n">
        <v>2350</v>
      </c>
      <c r="M9" s="5" t="n">
        <v>1850</v>
      </c>
      <c r="N9" s="5" t="n">
        <v>2350</v>
      </c>
      <c r="O9" s="5" t="n">
        <f aca="false">SUM(G9:N9)</f>
        <v>17800</v>
      </c>
    </row>
    <row r="10" customFormat="false" ht="14.25" hidden="false" customHeight="false" outlineLevel="0" collapsed="false">
      <c r="B10" s="5"/>
      <c r="C10" s="5"/>
      <c r="D10" s="5"/>
      <c r="F10" s="148"/>
      <c r="G10" s="5" t="n">
        <f aca="false">G9+G8</f>
        <v>29147.76</v>
      </c>
      <c r="H10" s="5" t="n">
        <f aca="false">H9+H8</f>
        <v>29147.76</v>
      </c>
      <c r="I10" s="5" t="n">
        <f aca="false">SUM(I8:I9)</f>
        <v>29147.76</v>
      </c>
      <c r="J10" s="5" t="n">
        <f aca="false">J9+J8</f>
        <v>29147.76</v>
      </c>
      <c r="K10" s="5" t="n">
        <f aca="false">K9+K8</f>
        <v>15281.88</v>
      </c>
      <c r="L10" s="5" t="n">
        <f aca="false">L9+L8</f>
        <v>29147.76</v>
      </c>
      <c r="M10" s="5" t="n">
        <f aca="false">M9+M8</f>
        <v>15281.88</v>
      </c>
      <c r="N10" s="5" t="n">
        <f aca="false">N9+N8</f>
        <v>29147.76</v>
      </c>
      <c r="O10" s="5" t="n">
        <f aca="false">SUM(G10:N10)</f>
        <v>205450.32</v>
      </c>
    </row>
    <row r="11" customFormat="false" ht="14.25" hidden="false" customHeight="false" outlineLevel="0" collapsed="false">
      <c r="A11" s="150" t="s">
        <v>407</v>
      </c>
      <c r="B11" s="5"/>
      <c r="C11" s="5" t="n">
        <v>492</v>
      </c>
      <c r="D11" s="5" t="n">
        <v>492</v>
      </c>
      <c r="E11" s="28"/>
      <c r="F11" s="148" t="s">
        <v>408</v>
      </c>
      <c r="G11" s="5" t="n">
        <f aca="false">G5*10%</f>
        <v>2576.976</v>
      </c>
      <c r="H11" s="5" t="n">
        <f aca="false">H5*10%</f>
        <v>2576.976</v>
      </c>
      <c r="I11" s="5" t="n">
        <v>2576.98</v>
      </c>
      <c r="J11" s="5" t="n">
        <f aca="false">J5*10%</f>
        <v>2576.976</v>
      </c>
      <c r="K11" s="5" t="n">
        <f aca="false">K5*10%</f>
        <v>1288.488</v>
      </c>
      <c r="L11" s="5" t="n">
        <f aca="false">L5*10%</f>
        <v>2576.976</v>
      </c>
      <c r="M11" s="5" t="n">
        <f aca="false">M5*10%</f>
        <v>1288.488</v>
      </c>
      <c r="N11" s="5" t="n">
        <f aca="false">N5*10%</f>
        <v>2576.976</v>
      </c>
      <c r="O11" s="5" t="n">
        <f aca="false">SUM(G11:N11)</f>
        <v>18038.836</v>
      </c>
    </row>
    <row r="12" customFormat="false" ht="14.25" hidden="false" customHeight="false" outlineLevel="0" collapsed="false">
      <c r="A12" s="1" t="s">
        <v>409</v>
      </c>
      <c r="B12" s="5"/>
      <c r="C12" s="5" t="n">
        <v>924</v>
      </c>
      <c r="D12" s="5" t="n">
        <v>924</v>
      </c>
      <c r="G12" s="151" t="n">
        <f aca="false">SUM(G10:G11)</f>
        <v>31724.736</v>
      </c>
      <c r="H12" s="151" t="n">
        <f aca="false">SUM(H10:H11)</f>
        <v>31724.736</v>
      </c>
      <c r="I12" s="151" t="n">
        <f aca="false">SUM(I10:I11)</f>
        <v>31724.74</v>
      </c>
      <c r="J12" s="151" t="n">
        <f aca="false">SUM(J10:J11)</f>
        <v>31724.736</v>
      </c>
      <c r="K12" s="151" t="n">
        <f aca="false">SUM(K10:K11)</f>
        <v>16570.368</v>
      </c>
      <c r="L12" s="151" t="n">
        <f aca="false">SUM(L10:L11)</f>
        <v>31724.736</v>
      </c>
      <c r="M12" s="151" t="n">
        <f aca="false">SUM(M10:M11)</f>
        <v>16570.368</v>
      </c>
      <c r="N12" s="151" t="n">
        <f aca="false">SUM(N10:N11)</f>
        <v>31724.736</v>
      </c>
      <c r="O12" s="152" t="n">
        <f aca="false">SUM(G12:N12)</f>
        <v>223489.156</v>
      </c>
    </row>
    <row r="13" customFormat="false" ht="14.25" hidden="false" customHeight="false" outlineLevel="0" collapsed="false">
      <c r="B13" s="5"/>
      <c r="C13" s="5"/>
      <c r="D13" s="5"/>
      <c r="H13" s="5"/>
      <c r="I13" s="5"/>
      <c r="J13" s="5"/>
      <c r="K13" s="5"/>
      <c r="L13" s="5"/>
      <c r="M13" s="5"/>
      <c r="N13" s="5"/>
      <c r="O13" s="5"/>
    </row>
    <row r="14" customFormat="false" ht="14.25" hidden="false" customHeight="false" outlineLevel="0" collapsed="false">
      <c r="A14" s="1" t="s">
        <v>403</v>
      </c>
      <c r="B14" s="5" t="n">
        <v>0</v>
      </c>
      <c r="C14" s="5" t="n">
        <v>55</v>
      </c>
      <c r="D14" s="5" t="n">
        <v>55</v>
      </c>
      <c r="H14" s="5"/>
      <c r="I14" s="5"/>
      <c r="J14" s="5"/>
      <c r="K14" s="5"/>
      <c r="L14" s="114"/>
      <c r="M14" s="5"/>
      <c r="N14" s="5"/>
      <c r="O14" s="5"/>
    </row>
    <row r="15" customFormat="false" ht="14.25" hidden="false" customHeight="false" outlineLevel="0" collapsed="false">
      <c r="A15" s="1" t="s">
        <v>409</v>
      </c>
      <c r="B15" s="5" t="n">
        <v>0</v>
      </c>
      <c r="C15" s="5" t="n">
        <v>104</v>
      </c>
      <c r="D15" s="5" t="n">
        <v>104</v>
      </c>
      <c r="E15" s="28"/>
      <c r="F15" s="28"/>
      <c r="G15" s="29"/>
      <c r="H15" s="29"/>
      <c r="I15" s="29"/>
      <c r="J15" s="29"/>
      <c r="K15" s="29"/>
      <c r="L15" s="142"/>
      <c r="M15" s="29"/>
      <c r="N15" s="29"/>
      <c r="O15" s="29"/>
    </row>
    <row r="16" customFormat="false" ht="14.25" hidden="false" customHeight="false" outlineLevel="0" collapsed="false">
      <c r="B16" s="5"/>
      <c r="C16" s="5"/>
      <c r="D16" s="5"/>
    </row>
    <row r="17" customFormat="false" ht="14.25" hidden="false" customHeight="false" outlineLevel="0" collapsed="false">
      <c r="F17" s="5"/>
      <c r="H17" s="5"/>
      <c r="I17" s="5"/>
      <c r="J17" s="5"/>
      <c r="K17" s="5"/>
      <c r="L17" s="5"/>
      <c r="O17" s="153"/>
      <c r="P17" s="154"/>
      <c r="Q17" s="154"/>
      <c r="R17" s="154"/>
      <c r="S17" s="154"/>
      <c r="T17" s="154"/>
      <c r="U17" s="154"/>
    </row>
    <row r="24" customFormat="false" ht="14.25" hidden="false" customHeight="false" outlineLevel="0" collapsed="false">
      <c r="A24" s="1" t="s">
        <v>410</v>
      </c>
      <c r="B24" s="123" t="n">
        <v>0.025</v>
      </c>
    </row>
    <row r="25" customFormat="false" ht="14.25" hidden="false" customHeight="false" outlineLevel="0" collapsed="false">
      <c r="A25" s="1" t="s">
        <v>411</v>
      </c>
      <c r="B25" s="123" t="n">
        <v>0.08</v>
      </c>
    </row>
    <row r="26" customFormat="false" ht="14.25" hidden="false" customHeight="false" outlineLevel="0" collapsed="false">
      <c r="A26" s="1" t="s">
        <v>412</v>
      </c>
      <c r="B26" s="1" t="n">
        <v>13.33</v>
      </c>
    </row>
    <row r="27" customFormat="false" ht="14.25" hidden="false" customHeight="false" outlineLevel="0" collapsed="false">
      <c r="A27" s="1" t="s">
        <v>413</v>
      </c>
      <c r="B27" s="155" t="n">
        <v>0.1</v>
      </c>
    </row>
    <row r="28" customFormat="false" ht="14.25" hidden="false" customHeight="false" outlineLevel="0" collapsed="false">
      <c r="A28" s="1" t="s">
        <v>414</v>
      </c>
      <c r="B28" s="123" t="n">
        <v>0.0334</v>
      </c>
    </row>
    <row r="29" customFormat="false" ht="14.25" hidden="false" customHeight="false" outlineLevel="0" collapsed="false">
      <c r="A29" s="1" t="s">
        <v>415</v>
      </c>
      <c r="B29" s="123" t="n">
        <v>0.1</v>
      </c>
    </row>
    <row r="30" customFormat="false" ht="14.25" hidden="false" customHeight="false" outlineLevel="0" collapsed="false">
      <c r="A30" s="1" t="s">
        <v>416</v>
      </c>
    </row>
    <row r="31" customFormat="false" ht="14.25" hidden="false" customHeight="false" outlineLevel="0" collapsed="false">
      <c r="A31" s="1" t="s">
        <v>417</v>
      </c>
      <c r="B31" s="1" t="n">
        <v>10.55</v>
      </c>
    </row>
    <row r="32" customFormat="false" ht="14.25" hidden="false" customHeight="false" outlineLevel="0" collapsed="false">
      <c r="A32" s="1" t="s">
        <v>418</v>
      </c>
      <c r="B32" s="1" t="n">
        <v>12.41</v>
      </c>
    </row>
    <row r="33" customFormat="false" ht="14.25" hidden="false" customHeight="false" outlineLevel="0" collapsed="false">
      <c r="A33" s="1" t="s">
        <v>419</v>
      </c>
      <c r="B33" s="155" t="n">
        <v>0.24</v>
      </c>
    </row>
    <row r="34" customFormat="false" ht="14.25" hidden="false" customHeight="false" outlineLevel="0" collapsed="false">
      <c r="A34" s="1" t="s">
        <v>420</v>
      </c>
    </row>
  </sheetData>
  <hyperlinks>
    <hyperlink ref="F6" r:id="rId1" display="Dental "/>
    <hyperlink ref="F7" r:id="rId2" display="Vision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3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4.2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4.2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2016-11-27T17:20:18Z</dcterms:created>
  <dc:creator>Town Clerk</dc:creator>
  <dc:description/>
  <dc:language>en-US</dc:language>
  <cp:lastModifiedBy/>
  <cp:lastPrinted>2026-01-06T20:34:57Z</cp:lastPrinted>
  <dcterms:modified xsi:type="dcterms:W3CDTF">2026-04-07T09:46:38Z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