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Me" sheetId="1" state="visible" r:id="rId1"/>
    <sheet name="Inputs" sheetId="2" state="visible" r:id="rId2"/>
    <sheet name="Summary" sheetId="3" state="visible" r:id="rId3"/>
    <sheet name="Scenarios" sheetId="4" state="visible" r:id="rId4"/>
    <sheet name="Steady Budgets" sheetId="5" state="visible" r:id="rId5"/>
    <sheet name="What-If" sheetId="6" state="visible" r:id="rId6"/>
    <sheet name="Annual — Levy" sheetId="7" state="visible" r:id="rId7"/>
    <sheet name="Annual — Detail" sheetId="8" state="visible" r:id="rId8"/>
    <sheet name="Projected 2043–52" sheetId="9" state="visible" r:id="rId9"/>
    <sheet name="Contributions" sheetId="10" state="visible" r:id="rId10"/>
    <sheet name="Funds by Plan" sheetId="11" state="visible" r:id="rId11"/>
    <sheet name="Ballots &amp; Orders" sheetId="12" state="visible" r:id="rId12"/>
    <sheet name="Outlay Schedule" sheetId="13" state="visible" r:id="rId13"/>
  </sheets>
  <definedNames>
    <definedName name="_xlnm.Print_Titles" localSheetId="2">'Summary'!$1:$1</definedName>
    <definedName name="_xlnm.Print_Titles" localSheetId="3">'Scenarios'!$1:$1</definedName>
    <definedName name="_xlnm.Print_Titles" localSheetId="4">'Steady Budgets'!$1:$1</definedName>
    <definedName name="_xlnm.Print_Titles" localSheetId="11">'Ballots &amp; Orders'!$1:$1</definedName>
    <definedName name="_xlnm.Print_Titles" localSheetId="12">'Outlay Schedule'!$1:$1</definedName>
  </definedNames>
  <calcPr calcId="124519" fullCalcOnLoad="1"/>
</workbook>
</file>

<file path=xl/styles.xml><?xml version="1.0" encoding="utf-8"?>
<styleSheet xmlns="http://schemas.openxmlformats.org/spreadsheetml/2006/main">
  <numFmts count="3">
    <numFmt numFmtId="164" formatCode="0.0%"/>
    <numFmt numFmtId="165" formatCode="+0.0&quot;¢&quot;;-0.0&quot;¢&quot;;0.0&quot;¢&quot;"/>
    <numFmt numFmtId="166" formatCode="&quot;FY&quot;0"/>
  </numFmts>
  <fonts count="11">
    <font>
      <name val="Calibri"/>
      <family val="2"/>
      <color theme="1"/>
      <sz val="11"/>
      <scheme val="minor"/>
    </font>
    <font>
      <b val="1"/>
      <color rgb="001E4D2B"/>
    </font>
    <font>
      <color rgb="001F4E9E"/>
    </font>
    <font>
      <i val="1"/>
      <color rgb="006B7280"/>
      <sz val="9"/>
    </font>
    <font>
      <i val="1"/>
      <color rgb="006B7280"/>
    </font>
    <font>
      <b val="1"/>
      <color rgb="00FFFFFF"/>
    </font>
    <font>
      <b val="1"/>
    </font>
    <font/>
    <font>
      <color rgb="006B7280"/>
    </font>
    <font>
      <color rgb="00374151"/>
      <sz val="9"/>
    </font>
    <font>
      <b val="1"/>
      <color rgb="001E4D2B"/>
      <sz val="14"/>
    </font>
  </fonts>
  <fills count="6">
    <fill>
      <patternFill/>
    </fill>
    <fill>
      <patternFill patternType="gray125"/>
    </fill>
    <fill>
      <patternFill patternType="solid">
        <fgColor rgb="001E4D2B"/>
      </patternFill>
    </fill>
    <fill>
      <patternFill patternType="solid">
        <fgColor rgb="00EAF2EC"/>
      </patternFill>
    </fill>
    <fill>
      <patternFill patternType="solid">
        <fgColor rgb="00F3F4F6"/>
      </patternFill>
    </fill>
    <fill>
      <patternFill patternType="solid">
        <fgColor rgb="FFEAF1FA"/>
      </patternFill>
    </fill>
  </fills>
  <borders count="2">
    <border>
      <left/>
      <right/>
      <top/>
      <bottom/>
      <diagonal/>
    </border>
    <border>
      <bottom style="thin">
        <color rgb="00E5E7EB"/>
      </bottom>
    </border>
  </borders>
  <cellStyleXfs count="1">
    <xf numFmtId="0" fontId="0" fillId="0" borderId="0"/>
  </cellStyleXfs>
  <cellXfs count="46">
    <xf numFmtId="0" fontId="0" fillId="0" borderId="0" pivotButton="0" quotePrefix="0" xfId="0"/>
    <xf numFmtId="0" fontId="10" fillId="0" borderId="0" pivotButton="0" quotePrefix="0" xfId="0"/>
    <xf numFmtId="0" fontId="0" fillId="0" borderId="0" applyAlignment="1" pivotButton="0" quotePrefix="0" xfId="0">
      <alignment vertical="top" wrapText="1"/>
    </xf>
    <xf numFmtId="0" fontId="6" fillId="0" borderId="0" applyAlignment="1" pivotButton="0" quotePrefix="0" xfId="0">
      <alignment vertical="top" wrapText="1"/>
    </xf>
    <xf numFmtId="0" fontId="1" fillId="0" borderId="0" pivotButton="0" quotePrefix="0" xfId="0"/>
    <xf numFmtId="10" fontId="2" fillId="0" borderId="0" applyAlignment="1" applyProtection="1" pivotButton="0" quotePrefix="0" xfId="0">
      <alignment horizontal="right"/>
      <protection locked="0" hidden="0"/>
    </xf>
    <xf numFmtId="0" fontId="3" fillId="0" borderId="0" pivotButton="0" quotePrefix="0" xfId="0"/>
    <xf numFmtId="164" fontId="4" fillId="0" borderId="0" applyAlignment="1" pivotButton="0" quotePrefix="0" xfId="0">
      <alignment horizontal="right"/>
    </xf>
    <xf numFmtId="164" fontId="2" fillId="0" borderId="0" applyAlignment="1" applyProtection="1" pivotButton="0" quotePrefix="0" xfId="0">
      <alignment horizontal="right"/>
      <protection locked="0" hidden="0"/>
    </xf>
    <xf numFmtId="1" fontId="2" fillId="0" borderId="0" applyAlignment="1" applyProtection="1" pivotButton="0" quotePrefix="0" xfId="0">
      <alignment horizontal="right"/>
      <protection locked="0" hidden="0"/>
    </xf>
    <xf numFmtId="3" fontId="2" fillId="0" borderId="0" applyAlignment="1" applyProtection="1" pivotButton="0" quotePrefix="0" xfId="0">
      <alignment horizontal="right"/>
      <protection locked="0" hidden="0"/>
    </xf>
    <xf numFmtId="9" fontId="2" fillId="0" borderId="0" applyAlignment="1" applyProtection="1" pivotButton="0" quotePrefix="0" xfId="0">
      <alignment horizontal="right"/>
      <protection locked="0" hidden="0"/>
    </xf>
    <xf numFmtId="1" fontId="4" fillId="0" borderId="0" applyAlignment="1" pivotButton="0" quotePrefix="0" xfId="0">
      <alignment horizontal="right"/>
    </xf>
    <xf numFmtId="3" fontId="7" fillId="0" borderId="0" applyAlignment="1" pivotButton="0" quotePrefix="0" xfId="0">
      <alignment horizontal="right"/>
    </xf>
    <xf numFmtId="0" fontId="5" fillId="2" borderId="1" applyAlignment="1" pivotButton="0" quotePrefix="0" xfId="0">
      <alignment horizontal="center" vertical="center" wrapText="1"/>
    </xf>
    <xf numFmtId="10" fontId="4" fillId="0" borderId="0" applyAlignment="1" pivotButton="0" quotePrefix="0" xfId="0">
      <alignment horizontal="right"/>
    </xf>
    <xf numFmtId="0" fontId="6" fillId="0" borderId="0" pivotButton="0" quotePrefix="0" xfId="0"/>
    <xf numFmtId="3" fontId="6" fillId="0" borderId="0" applyAlignment="1" pivotButton="0" quotePrefix="0" xfId="0">
      <alignment horizontal="right"/>
    </xf>
    <xf numFmtId="0" fontId="1" fillId="4" borderId="0" pivotButton="0" quotePrefix="0" xfId="0"/>
    <xf numFmtId="0" fontId="0" fillId="4" borderId="0" pivotButton="0" quotePrefix="0" xfId="0"/>
    <xf numFmtId="0" fontId="0" fillId="0" borderId="0" applyAlignment="1" pivotButton="0" quotePrefix="0" xfId="0">
      <alignment indent="1"/>
    </xf>
    <xf numFmtId="3" fontId="0" fillId="0" borderId="0" applyAlignment="1" pivotButton="0" quotePrefix="0" xfId="0">
      <alignment horizontal="right"/>
    </xf>
    <xf numFmtId="165" fontId="0" fillId="0" borderId="0" applyAlignment="1" pivotButton="0" quotePrefix="0" xfId="0">
      <alignment horizontal="right"/>
    </xf>
    <xf numFmtId="1" fontId="0" fillId="0" borderId="0" applyAlignment="1" pivotButton="0" quotePrefix="0" xfId="0">
      <alignment horizontal="right"/>
    </xf>
    <xf numFmtId="1" fontId="0" fillId="3" borderId="0" applyAlignment="1" pivotButton="0" quotePrefix="0" xfId="0">
      <alignment horizontal="right"/>
    </xf>
    <xf numFmtId="3" fontId="0" fillId="3" borderId="0" applyAlignment="1" pivotButton="0" quotePrefix="0" xfId="0">
      <alignment horizontal="right"/>
    </xf>
    <xf numFmtId="3" fontId="0" fillId="0" borderId="0" applyAlignment="1" applyProtection="1" pivotButton="0" quotePrefix="0" xfId="0">
      <alignment horizontal="right"/>
      <protection locked="0" hidden="0"/>
    </xf>
    <xf numFmtId="3" fontId="0" fillId="3" borderId="0" applyAlignment="1" applyProtection="1" pivotButton="0" quotePrefix="0" xfId="0">
      <alignment horizontal="right"/>
      <protection locked="0" hidden="0"/>
    </xf>
    <xf numFmtId="0" fontId="6" fillId="0" borderId="0" applyAlignment="1" pivotButton="0" quotePrefix="0" xfId="0">
      <alignment indent="1"/>
    </xf>
    <xf numFmtId="3" fontId="6" fillId="3" borderId="0" applyAlignment="1" pivotButton="0" quotePrefix="0" xfId="0">
      <alignment horizontal="right"/>
    </xf>
    <xf numFmtId="49" fontId="0" fillId="0" borderId="0" applyAlignment="1" pivotButton="0" quotePrefix="0" xfId="0">
      <alignment horizontal="right"/>
    </xf>
    <xf numFmtId="3" fontId="6" fillId="0" borderId="0" applyAlignment="1" applyProtection="1" pivotButton="0" quotePrefix="0" xfId="0">
      <alignment horizontal="right"/>
      <protection locked="0" hidden="0"/>
    </xf>
    <xf numFmtId="3" fontId="6" fillId="3" borderId="0" applyAlignment="1" applyProtection="1" pivotButton="0" quotePrefix="0" xfId="0">
      <alignment horizontal="right"/>
      <protection locked="0" hidden="0"/>
    </xf>
    <xf numFmtId="0" fontId="3" fillId="0" borderId="0" applyAlignment="1" pivotButton="0" quotePrefix="0" xfId="0">
      <alignment vertical="top" wrapText="1"/>
    </xf>
    <xf numFmtId="49" fontId="2" fillId="5" borderId="0" applyProtection="1" pivotButton="0" quotePrefix="0" xfId="0">
      <protection locked="0" hidden="0"/>
    </xf>
    <xf numFmtId="166" fontId="2" fillId="5" borderId="0" applyAlignment="1" applyProtection="1" pivotButton="0" quotePrefix="0" xfId="0">
      <alignment horizontal="right"/>
      <protection locked="0" hidden="0"/>
    </xf>
    <xf numFmtId="3" fontId="2" fillId="5" borderId="0" applyAlignment="1" applyProtection="1" pivotButton="0" quotePrefix="0" xfId="0">
      <alignment horizontal="right"/>
      <protection locked="0" hidden="0"/>
    </xf>
    <xf numFmtId="10" fontId="2" fillId="5" borderId="0" applyAlignment="1" applyProtection="1" pivotButton="0" quotePrefix="0" xfId="0">
      <alignment horizontal="right"/>
      <protection locked="0" hidden="0"/>
    </xf>
    <xf numFmtId="1" fontId="2" fillId="5" borderId="0" applyAlignment="1" applyProtection="1" pivotButton="0" quotePrefix="0" xfId="0">
      <alignment horizontal="right"/>
      <protection locked="0" hidden="0"/>
    </xf>
    <xf numFmtId="166" fontId="0" fillId="0" borderId="0" applyAlignment="1" pivotButton="0" quotePrefix="0" xfId="0">
      <alignment horizontal="left"/>
    </xf>
    <xf numFmtId="10" fontId="2" fillId="5" borderId="0" applyProtection="1" pivotButton="0" quotePrefix="0" xfId="0">
      <protection locked="0" hidden="0"/>
    </xf>
    <xf numFmtId="0" fontId="8" fillId="0" borderId="0" pivotButton="0" quotePrefix="0" xfId="0"/>
    <xf numFmtId="0" fontId="9" fillId="0" borderId="0" pivotButton="0" quotePrefix="0" xfId="0"/>
    <xf numFmtId="1" fontId="9" fillId="0" borderId="0" applyAlignment="1" pivotButton="0" quotePrefix="0" xfId="0">
      <alignment horizontal="right"/>
    </xf>
    <xf numFmtId="166" fontId="2" fillId="0" borderId="0" applyAlignment="1" applyProtection="1" pivotButton="0" quotePrefix="0" xfId="0">
      <alignment horizontal="right"/>
      <protection locked="0" hidden="0"/>
    </xf>
    <xf numFmtId="166" fontId="0" fillId="0" borderId="0"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styles" Target="styles.xml" Id="rId14" /><Relationship Type="http://schemas.openxmlformats.org/officeDocument/2006/relationships/theme" Target="theme/theme1.xml" Id="rId15"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FF1E4D2B"/>
    <outlinePr summaryBelow="1" summaryRight="1"/>
    <pageSetUpPr fitToPage="1"/>
  </sheetPr>
  <dimension ref="A1:B22"/>
  <sheetViews>
    <sheetView workbookViewId="0">
      <selection activeCell="A1" sqref="A1"/>
    </sheetView>
  </sheetViews>
  <sheetFormatPr baseColWidth="8" defaultRowHeight="15"/>
  <cols>
    <col width="26" customWidth="1" min="1" max="1"/>
    <col width="104" customWidth="1" min="2" max="2"/>
  </cols>
  <sheetData>
    <row r="1">
      <c r="A1" s="1" t="inlineStr">
        <is>
          <t>How Middlesex pays for its machines: six capital funding plans</t>
        </is>
      </c>
      <c r="B1" s="2" t="inlineStr"/>
    </row>
    <row r="2">
      <c r="A2" t="inlineStr"/>
      <c r="B2" s="2" t="inlineStr"/>
    </row>
    <row r="3">
      <c r="A3" s="3" t="inlineStr">
        <is>
          <t>What this is</t>
        </is>
      </c>
      <c r="B3" s="2" t="inlineStr">
        <is>
          <t>Six ways to fund the town's KNOWN capital plan — the machines it owns today on their historical cycles; new needs will surface across the window and arrive on top of every figure here — modeled per fiscal year FY2028–FY2042 on the town's six purpose-locked reserve funds: market-adjusted apparatus prices locked at order (contracts sign ~3 years before delivery, escalating 7%/yr), VTrans Class 2 grants offsetting paving projects, the town's realized 0.7% reserve yield, and Vermont borrowing law (5-yr notes by floor article; heavy trucks by vendor installment at 5.5% over five years, also by warned article; and Australian-ballot bonds at a 4% Bond Bank assumption, each sized to be drawn within three to four years of issue per federal spend-down rules — where the mid-2030s Rescue order is bonded, that means a second, smaller bond (the seed plan's Rescue remainder fits a five-year note instead), and the Scenarios tab prices a single consolidated 12-year bond as a stress case).</t>
        </is>
      </c>
    </row>
    <row r="4">
      <c r="A4" s="3" t="inlineStr">
        <is>
          <t>Generated</t>
        </is>
      </c>
      <c r="B4" s="2" t="inlineStr">
        <is>
          <t>pipeline v3 on 2026-08-03 — regenerate: python3 scripts/cip/pipeline.py --publish</t>
        </is>
      </c>
    </row>
    <row r="5">
      <c r="A5" s="3" t="inlineStr">
        <is>
          <t>Verification</t>
        </is>
      </c>
      <c r="B5" s="2" t="inlineStr">
        <is>
          <t>Every figure regenerates from the published data files; an independent reimplementation of the stated rules reproduces all results within $2.</t>
        </is>
      </c>
    </row>
    <row r="6">
      <c r="A6" s="3" t="inlineStr">
        <is>
          <t>Web version</t>
        </is>
      </c>
      <c r="B6" s="2" t="inlineStr">
        <is>
          <t>https://hungermountaini.com/middlesex/capital-plans/</t>
        </is>
      </c>
    </row>
    <row r="7">
      <c r="A7" s="3" t="inlineStr">
        <is>
          <t>Tabs, in reading order</t>
        </is>
      </c>
      <c r="B7" s="2" t="inlineStr">
        <is>
          <t>Read Me (this page) · Inputs (every parameter and starting balance) · Summary (the plan comparison, with a Checks block at the bottom) · Scenarios (stress tests) · Steady Budgets (one structure at every budget level) · What-If (add your own expenses) · Annual — Levy (the budget by year) · Annual — Detail (debt service, borrowing, interest, balances, debt, net position) · Projected 2043–52 (the charts' shaded decade — where each structure settles; no window metric uses it) · Contributions (where each plan's levy goes, fund by fund, with the allocation rule) · Funds by Plan (per-fund flows and balances) · Ballots &amp; Orders (votes and apparatus orders) · Outlay Schedule (every purchase).</t>
        </is>
      </c>
    </row>
    <row r="8">
      <c r="A8" t="inlineStr"/>
      <c r="B8" s="2" t="inlineStr"/>
    </row>
    <row r="9">
      <c r="A9" s="3" t="inlineStr">
        <is>
          <t>Live vs static</t>
        </is>
      </c>
      <c r="B9" s="2" t="inlineStr">
        <is>
          <t>Derived figures are live Excel formulas: the Summary aggregates, tax translations, the true-cost identity, apparatus price escalations, the What-If tab, and the whole balance sheet — per-fund balances on Funds by Plan, the all-funds totals, capital debt outstanding, and net positions are running-balance formulas seeded from the Inputs tab. The engine's decisions stay static and editable: the deposit and other-flow rows on Contributions, per-year debt service, borrowing and interest rows, bond sizes, the non-base Scenarios rows, and Steady Budgets except its live break-even row, and the Projected 2043–52 sheet. Edit any such value and every dependent sheet recomputes consistently — but Excel does not re-run the year-by-year simulation, so an edit changes the arithmetic, not the engine's decisions; regenerate with pipeline.py for that. The interest-rate cells are pipeline parameters (marked); the reform-earnings and Bond Bank rates have sensitivity rows on the Scenarios tab, the note and installment rates only the What-If approximation. Figures quoted in prose on this tab are snapshots and do not recompute. Every sheet is protected without a password: formula cells are locked, input and engine-decision cells are unlocked, and sorting is blocked because live formulas reference fixed rows (unprotect from the Review tab at your own risk). Small purchases at or under $15,000 are cash-flowed inside their fund, which can carry a balance briefly below zero — a payable within a −$15,000 tolerance, never new borrowing. The Summary Checks block ties: the levy to its uses, borrowing to the financed articles, debt and fund floors to every year, interest earned to the base rate, starting balances to the audit, post-window interest to remaining debt, and the price inputs to the engine baseline — edits outside those ties are not automatically flagged. Interest credits and note payments live inside the Contributions other-flows nets; non-bond borrowing pays vendors directly, so no fund receives that cash.</t>
        </is>
      </c>
    </row>
    <row r="10">
      <c r="A10" s="3" t="inlineStr">
        <is>
          <t>Conventions</t>
        </is>
      </c>
      <c r="B10" s="2" t="inlineStr">
        <is>
          <t>Blue = input that drives workbook formulas. Grey italic = engine reference value (used by the simulation, not by any workbook formula). Soft green shading = best plan for that metric, where direction is unambiguous. ALL DOLLARS ARE TODAY'S DOLLARS: no general inflation is assumed — actual future bills rise with inflation for every plan alike, home values and the grand list with them, so comparisons and rankings stand; the apparatus escalation to order date is a contract-market fact, not an inflation forecast. FY = July–June; FY2028 is the first budget a March 2027 meeting can set. Abbreviations: VMBB = Vermont Municipal Bond Bank; CLA = Common Level of Appraisal (the state's ratio of assessed to market value); A&amp;E = the Asset &amp; Equipment Fund; plan IDs run P0, P1, P2, P3, P5, P4 across the Summary columns left to right (the step-up plan P5 sits before full pre-funding P4). 1¢ on the municipal rate raises about $24,000/yr; tax impacts compare to the $268,022 FY2027 non-flood capital+debt spend.</t>
        </is>
      </c>
    </row>
    <row r="11">
      <c r="A11" s="3" t="inlineStr">
        <is>
          <t>True cost</t>
        </is>
      </c>
      <c r="B11" s="2" t="inlineStr">
        <is>
          <t>Fifteen years of levies minus the improvement in net position (all funds minus capital debt) over the window, plus interest scheduled after FY2042 on debt still outstanding (post-window earnings on ending fund balances are not credited). Net position entering FY2028: −$105,243 ($341,657 in funds − $446,900 of entering note balances).</t>
        </is>
      </c>
    </row>
    <row r="12">
      <c r="A12" s="3" t="inlineStr">
        <is>
          <t>Flood debt</t>
        </is>
      </c>
      <c r="B12" s="2" t="inlineStr">
        <is>
          <t>The flood-recovery debt line ($465,528/yr through FY2031, $288,260 in FY2032) is identical under every plan and shown separately — add it to any plan's levy for the actual tax bill. It is a FEMA-reimbursement bridge the town expects to clear by about FY2029; the line is its contractual worst case.</t>
        </is>
      </c>
    </row>
    <row r="13">
      <c r="A13" t="inlineStr"/>
      <c r="B13" s="2" t="inlineStr"/>
    </row>
    <row r="14">
      <c r="A14" s="4" t="inlineStr">
        <is>
          <t>Plan key</t>
        </is>
      </c>
      <c r="B14" s="2" t="inlineStr"/>
    </row>
    <row r="15">
      <c r="A15" s="3" t="inlineStr">
        <is>
          <t>Current practice</t>
        </is>
      </c>
      <c r="B15" s="2" t="inlineStr">
        <is>
          <t>The capital appropriation wobbles between $126,000 and $101,000 as it has in recent budgets; a reserve fund pays for an item only when it covers the whole price, as the audit shows; everything else is financed in full — the truck fleet through vendor installment programs, fire apparatus and paving through the plan's capital-program bonds — with debt service riding the tax bill.</t>
        </is>
      </c>
    </row>
    <row r="16">
      <c r="A16" s="3" t="inlineStr">
        <is>
          <t>Save $50,000 more a year</t>
        </is>
      </c>
      <c r="B16" s="2" t="inlineStr">
        <is>
          <t>Same structure as current practice — debt service on the tax bill — but the fund is drawn toward each purchase before borrowing, and the Select Board steers contributions annually to the funds with upcoming needs.</t>
        </is>
      </c>
    </row>
    <row r="17">
      <c r="A17" s="3" t="inlineStr">
        <is>
          <t>Phased start from $300k (reaches $500k in FY2032)</t>
        </is>
      </c>
      <c r="B17" s="2" t="inlineStr">
        <is>
          <t>Because apparatus contracts sign years before delivery, the spending crunch sits at the front of this window — so a phased start only works with steep steps, peaking near $690,000 mid-climb before settling. Starting low defers cost at interest.</t>
        </is>
      </c>
    </row>
    <row r="18">
      <c r="A18" s="3" t="inlineStr">
        <is>
          <t>Break even by 2042 ($500k/yr)</t>
        </is>
      </c>
      <c r="B18" s="2" t="inlineStr">
        <is>
          <t>One annual capital budget inside the budget article, allocated by the Select Board across the existing purpose funds (no new articles needed); the equipment funds pay the equipment notes. Solving for the smallest levy is not solving for cost: the seed plan runs about $90,000 cheaper all in, and every larger steady budget costs less in the end.</t>
        </is>
      </c>
    </row>
    <row r="19">
      <c r="A19" s="3" t="inlineStr">
        <is>
          <t>Step up to $530k/yr (by FY2030)</t>
        </is>
      </c>
      <c r="B19" s="2" t="inlineStr">
        <is>
          <t>Same single-budget structure as the break-even plan, sized past it: two $40,000 steps reach $530,000 and hold. The margin above break-even becomes fund balances rather than interest — the fifteen-year true cost is within about $30,000 of saving $50,000 more a year, and the town ends 2042 owning about $390,000 more.</t>
        </is>
      </c>
    </row>
    <row r="20">
      <c r="A20" s="3" t="inlineStr">
        <is>
          <t>Full pre-funding ($565k/yr)</t>
        </is>
      </c>
      <c r="B20" s="2" t="inlineStr">
        <is>
          <t>The East Montpelier structure: voters establish one broad Capital Reserve Fund (new money only — the legacy funds spend down on their own purposes), a single bond covers the engine orders, and every later purchase is cash. It carries the smallest bond of any plan, pays the least interest, and exits 2042 with about $1.27 million of equity.</t>
        </is>
      </c>
    </row>
    <row r="21">
      <c r="A21" t="inlineStr"/>
      <c r="B21" s="2" t="inlineStr"/>
    </row>
    <row r="22">
      <c r="A22" s="3" t="inlineStr">
        <is>
          <t>Caveats</t>
        </is>
      </c>
      <c r="B22" s="2" t="inlineStr">
        <is>
          <t>The schedule prices known needs only: no allowance for new needs, which fifteen years will surely bring — every such dollar arrives on top of every figure shown, and under the borrowing plans as interest on a larger principal. Sheet prices for apparatus are far below market (a $500k engine is a ~2023 commercial price; contracts escalate ~7%/yr) — both bases are shown. The Bridge and Court Resurfacing funds have zero scheduled work in the window; the committee sheet, not the town, is missing culvert and court lines. The Shady Rill section 1 scope predates the 2023–24 flood reconstruction and its grant is assumed, not secured. No major Town Hall or Town Garage project is included — only routine upkeep ($151,000 and $19,500 over the window); any major project, pending the Middlesex FIT proposal and Select Board endorsement or similar, would be new money on top of every plan shown. Each fund's exact warned purpose language, per-fund interest crediting, and a bridge/culvert program remain unconfirmed with the town.</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10.xml><?xml version="1.0" encoding="utf-8"?>
<worksheet xmlns="http://schemas.openxmlformats.org/spreadsheetml/2006/main">
  <sheetPr>
    <tabColor rgb="FF1F4E9E"/>
    <outlinePr summaryBelow="1" summaryRight="1"/>
    <pageSetUpPr fitToPage="1"/>
  </sheetPr>
  <dimension ref="A1:K211"/>
  <sheetViews>
    <sheetView workbookViewId="0">
      <pane xSplit="1" topLeftCell="B1" activePane="topRight" state="frozen"/>
      <selection pane="topRight" activeCell="A1" sqref="A1"/>
    </sheetView>
  </sheetViews>
  <sheetFormatPr baseColWidth="8" defaultRowHeight="15"/>
  <cols>
    <col width="12"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s>
  <sheetData>
    <row r="1" ht="40" customHeight="1">
      <c r="A1" s="4" t="inlineStr">
        <is>
          <t>Current practice</t>
        </is>
      </c>
      <c r="B1" s="33" t="inlineStr">
        <is>
          <t>Deposits follow the FY2027 budget split, scaled to the wobbling line ($50k Asset &amp; Equipment, $30k Paving, $10k Town Hall, $6k Bridge, $5k Garage, $5k Courts at the $126k line; the line's other $20k is the reappraisal set-aside, under Direct spend).</t>
        </is>
      </c>
    </row>
    <row r="2">
      <c r="A2" s="14" t="inlineStr">
        <is>
          <t>Deposits</t>
        </is>
      </c>
      <c r="B2" s="14" t="inlineStr">
        <is>
          <t>Bridge</t>
        </is>
      </c>
      <c r="C2" s="14" t="inlineStr">
        <is>
          <t>Garage</t>
        </is>
      </c>
      <c r="D2" s="14" t="inlineStr">
        <is>
          <t>Town Hall</t>
        </is>
      </c>
      <c r="E2" s="14" t="inlineStr">
        <is>
          <t>Courts</t>
        </is>
      </c>
      <c r="F2" s="14" t="inlineStr">
        <is>
          <t>A&amp;E</t>
        </is>
      </c>
      <c r="G2" s="14" t="inlineStr">
        <is>
          <t>Paving</t>
        </is>
      </c>
      <c r="H2" s="14" t="inlineStr">
        <is>
          <t>Proceeds</t>
        </is>
      </c>
      <c r="I2" s="14" t="inlineStr">
        <is>
          <t>Cap Reserve</t>
        </is>
      </c>
      <c r="J2" s="14" t="inlineStr">
        <is>
          <t>Direct spend (no fund)</t>
        </is>
      </c>
      <c r="K2" s="14" t="inlineStr">
        <is>
          <t>Total uses</t>
        </is>
      </c>
    </row>
    <row r="3">
      <c r="A3" t="inlineStr">
        <is>
          <t>FY2028</t>
        </is>
      </c>
      <c r="B3" s="26" t="n">
        <v>6000</v>
      </c>
      <c r="C3" s="26" t="n">
        <v>5000</v>
      </c>
      <c r="D3" s="26" t="n">
        <v>10000</v>
      </c>
      <c r="E3" s="26" t="n">
        <v>5000</v>
      </c>
      <c r="F3" s="26" t="n">
        <v>50000</v>
      </c>
      <c r="G3" s="26" t="n">
        <v>30000</v>
      </c>
      <c r="H3" s="26" t="n">
        <v>0</v>
      </c>
      <c r="I3" s="26" t="n">
        <v>0</v>
      </c>
      <c r="J3" s="26" t="n">
        <v>20000</v>
      </c>
      <c r="K3" s="17">
        <f>SUM(B3:J3)</f>
        <v>126000</v>
      </c>
    </row>
    <row r="4">
      <c r="A4" t="inlineStr">
        <is>
          <t>FY2029</t>
        </is>
      </c>
      <c r="B4" s="26" t="n">
        <v>4585</v>
      </c>
      <c r="C4" s="26" t="n">
        <v>3821</v>
      </c>
      <c r="D4" s="26" t="n">
        <v>7642</v>
      </c>
      <c r="E4" s="26" t="n">
        <v>3821</v>
      </c>
      <c r="F4" s="26" t="n">
        <v>38208</v>
      </c>
      <c r="G4" s="26" t="n">
        <v>22925</v>
      </c>
      <c r="H4" s="26" t="n">
        <v>0</v>
      </c>
      <c r="I4" s="26" t="n">
        <v>0</v>
      </c>
      <c r="J4" s="26" t="n">
        <v>30998</v>
      </c>
      <c r="K4" s="17">
        <f>SUM(B4:J4)</f>
        <v>112000</v>
      </c>
    </row>
    <row r="5">
      <c r="A5" t="inlineStr">
        <is>
          <t>FY2030</t>
        </is>
      </c>
      <c r="B5" s="26" t="n">
        <v>6000</v>
      </c>
      <c r="C5" s="26" t="n">
        <v>5000</v>
      </c>
      <c r="D5" s="26" t="n">
        <v>10000</v>
      </c>
      <c r="E5" s="26" t="n">
        <v>5000</v>
      </c>
      <c r="F5" s="26" t="n">
        <v>50000</v>
      </c>
      <c r="G5" s="26" t="n">
        <v>30000</v>
      </c>
      <c r="H5" s="26" t="n">
        <v>0</v>
      </c>
      <c r="I5" s="26" t="n">
        <v>0</v>
      </c>
      <c r="J5" s="26" t="n">
        <v>20000</v>
      </c>
      <c r="K5" s="17">
        <f>SUM(B5:J5)</f>
        <v>126000</v>
      </c>
    </row>
    <row r="6">
      <c r="A6" t="inlineStr">
        <is>
          <t>FY2031</t>
        </is>
      </c>
      <c r="B6" s="26" t="n">
        <v>4585</v>
      </c>
      <c r="C6" s="26" t="n">
        <v>3821</v>
      </c>
      <c r="D6" s="26" t="n">
        <v>7642</v>
      </c>
      <c r="E6" s="26" t="n">
        <v>3821</v>
      </c>
      <c r="F6" s="26" t="n">
        <v>38208</v>
      </c>
      <c r="G6" s="26" t="n">
        <v>22925</v>
      </c>
      <c r="H6" s="26" t="n">
        <v>0</v>
      </c>
      <c r="I6" s="26" t="n">
        <v>0</v>
      </c>
      <c r="J6" s="26" t="n">
        <v>19998</v>
      </c>
      <c r="K6" s="17">
        <f>SUM(B6:J6)</f>
        <v>101000</v>
      </c>
    </row>
    <row r="7">
      <c r="A7" t="inlineStr">
        <is>
          <t>FY2032</t>
        </is>
      </c>
      <c r="B7" s="26" t="n">
        <v>6000</v>
      </c>
      <c r="C7" s="26" t="n">
        <v>5000</v>
      </c>
      <c r="D7" s="26" t="n">
        <v>10000</v>
      </c>
      <c r="E7" s="26" t="n">
        <v>5000</v>
      </c>
      <c r="F7" s="26" t="n">
        <v>50000</v>
      </c>
      <c r="G7" s="26" t="n">
        <v>30000</v>
      </c>
      <c r="H7" s="26" t="n">
        <v>0</v>
      </c>
      <c r="I7" s="26" t="n">
        <v>0</v>
      </c>
      <c r="J7" s="26" t="n">
        <v>20000</v>
      </c>
      <c r="K7" s="17">
        <f>SUM(B7:J7)</f>
        <v>126000</v>
      </c>
    </row>
    <row r="8">
      <c r="A8" t="inlineStr">
        <is>
          <t>FY2033</t>
        </is>
      </c>
      <c r="B8" s="26" t="n">
        <v>4585</v>
      </c>
      <c r="C8" s="26" t="n">
        <v>3821</v>
      </c>
      <c r="D8" s="26" t="n">
        <v>7642</v>
      </c>
      <c r="E8" s="26" t="n">
        <v>3821</v>
      </c>
      <c r="F8" s="26" t="n">
        <v>38208</v>
      </c>
      <c r="G8" s="26" t="n">
        <v>22925</v>
      </c>
      <c r="H8" s="26" t="n">
        <v>0</v>
      </c>
      <c r="I8" s="26" t="n">
        <v>0</v>
      </c>
      <c r="J8" s="26" t="n">
        <v>19998</v>
      </c>
      <c r="K8" s="17">
        <f>SUM(B8:J8)</f>
        <v>101000</v>
      </c>
    </row>
    <row r="9">
      <c r="A9" t="inlineStr">
        <is>
          <t>FY2034</t>
        </is>
      </c>
      <c r="B9" s="26" t="n">
        <v>6000</v>
      </c>
      <c r="C9" s="26" t="n">
        <v>5000</v>
      </c>
      <c r="D9" s="26" t="n">
        <v>10000</v>
      </c>
      <c r="E9" s="26" t="n">
        <v>5000</v>
      </c>
      <c r="F9" s="26" t="n">
        <v>50000</v>
      </c>
      <c r="G9" s="26" t="n">
        <v>30000</v>
      </c>
      <c r="H9" s="26" t="n">
        <v>0</v>
      </c>
      <c r="I9" s="26" t="n">
        <v>0</v>
      </c>
      <c r="J9" s="26" t="n">
        <v>20000</v>
      </c>
      <c r="K9" s="17">
        <f>SUM(B9:J9)</f>
        <v>126000</v>
      </c>
    </row>
    <row r="10">
      <c r="A10" t="inlineStr">
        <is>
          <t>FY2035</t>
        </is>
      </c>
      <c r="B10" s="26" t="n">
        <v>4585</v>
      </c>
      <c r="C10" s="26" t="n">
        <v>3821</v>
      </c>
      <c r="D10" s="26" t="n">
        <v>7642</v>
      </c>
      <c r="E10" s="26" t="n">
        <v>3821</v>
      </c>
      <c r="F10" s="26" t="n">
        <v>38208</v>
      </c>
      <c r="G10" s="26" t="n">
        <v>22925</v>
      </c>
      <c r="H10" s="26" t="n">
        <v>0</v>
      </c>
      <c r="I10" s="26" t="n">
        <v>0</v>
      </c>
      <c r="J10" s="26" t="n">
        <v>19998</v>
      </c>
      <c r="K10" s="17">
        <f>SUM(B10:J10)</f>
        <v>101000</v>
      </c>
    </row>
    <row r="11">
      <c r="A11" t="inlineStr">
        <is>
          <t>FY2036</t>
        </is>
      </c>
      <c r="B11" s="26" t="n">
        <v>6000</v>
      </c>
      <c r="C11" s="26" t="n">
        <v>5000</v>
      </c>
      <c r="D11" s="26" t="n">
        <v>10000</v>
      </c>
      <c r="E11" s="26" t="n">
        <v>5000</v>
      </c>
      <c r="F11" s="26" t="n">
        <v>50000</v>
      </c>
      <c r="G11" s="26" t="n">
        <v>30000</v>
      </c>
      <c r="H11" s="26" t="n">
        <v>0</v>
      </c>
      <c r="I11" s="26" t="n">
        <v>0</v>
      </c>
      <c r="J11" s="26" t="n">
        <v>20000</v>
      </c>
      <c r="K11" s="17">
        <f>SUM(B11:J11)</f>
        <v>126000</v>
      </c>
    </row>
    <row r="12">
      <c r="A12" t="inlineStr">
        <is>
          <t>FY2037</t>
        </is>
      </c>
      <c r="B12" s="26" t="n">
        <v>4585</v>
      </c>
      <c r="C12" s="26" t="n">
        <v>3821</v>
      </c>
      <c r="D12" s="26" t="n">
        <v>7642</v>
      </c>
      <c r="E12" s="26" t="n">
        <v>3821</v>
      </c>
      <c r="F12" s="26" t="n">
        <v>38208</v>
      </c>
      <c r="G12" s="26" t="n">
        <v>22925</v>
      </c>
      <c r="H12" s="26" t="n">
        <v>0</v>
      </c>
      <c r="I12" s="26" t="n">
        <v>0</v>
      </c>
      <c r="J12" s="26" t="n">
        <v>19998</v>
      </c>
      <c r="K12" s="17">
        <f>SUM(B12:J12)</f>
        <v>101000</v>
      </c>
    </row>
    <row r="13">
      <c r="A13" t="inlineStr">
        <is>
          <t>FY2038</t>
        </is>
      </c>
      <c r="B13" s="26" t="n">
        <v>6000</v>
      </c>
      <c r="C13" s="26" t="n">
        <v>5000</v>
      </c>
      <c r="D13" s="26" t="n">
        <v>10000</v>
      </c>
      <c r="E13" s="26" t="n">
        <v>5000</v>
      </c>
      <c r="F13" s="26" t="n">
        <v>50000</v>
      </c>
      <c r="G13" s="26" t="n">
        <v>30000</v>
      </c>
      <c r="H13" s="26" t="n">
        <v>0</v>
      </c>
      <c r="I13" s="26" t="n">
        <v>0</v>
      </c>
      <c r="J13" s="26" t="n">
        <v>20000</v>
      </c>
      <c r="K13" s="17">
        <f>SUM(B13:J13)</f>
        <v>126000</v>
      </c>
    </row>
    <row r="14">
      <c r="A14" t="inlineStr">
        <is>
          <t>FY2039</t>
        </is>
      </c>
      <c r="B14" s="26" t="n">
        <v>4585</v>
      </c>
      <c r="C14" s="26" t="n">
        <v>3821</v>
      </c>
      <c r="D14" s="26" t="n">
        <v>7642</v>
      </c>
      <c r="E14" s="26" t="n">
        <v>3821</v>
      </c>
      <c r="F14" s="26" t="n">
        <v>38208</v>
      </c>
      <c r="G14" s="26" t="n">
        <v>22925</v>
      </c>
      <c r="H14" s="26" t="n">
        <v>0</v>
      </c>
      <c r="I14" s="26" t="n">
        <v>0</v>
      </c>
      <c r="J14" s="26" t="n">
        <v>19998</v>
      </c>
      <c r="K14" s="17">
        <f>SUM(B14:J14)</f>
        <v>101000</v>
      </c>
    </row>
    <row r="15">
      <c r="A15" t="inlineStr">
        <is>
          <t>FY2040</t>
        </is>
      </c>
      <c r="B15" s="26" t="n">
        <v>6000</v>
      </c>
      <c r="C15" s="26" t="n">
        <v>5000</v>
      </c>
      <c r="D15" s="26" t="n">
        <v>10000</v>
      </c>
      <c r="E15" s="26" t="n">
        <v>5000</v>
      </c>
      <c r="F15" s="26" t="n">
        <v>50000</v>
      </c>
      <c r="G15" s="26" t="n">
        <v>30000</v>
      </c>
      <c r="H15" s="26" t="n">
        <v>0</v>
      </c>
      <c r="I15" s="26" t="n">
        <v>0</v>
      </c>
      <c r="J15" s="26" t="n">
        <v>35000</v>
      </c>
      <c r="K15" s="17">
        <f>SUM(B15:J15)</f>
        <v>141000</v>
      </c>
    </row>
    <row r="16">
      <c r="A16" t="inlineStr">
        <is>
          <t>FY2041</t>
        </is>
      </c>
      <c r="B16" s="26" t="n">
        <v>4585</v>
      </c>
      <c r="C16" s="26" t="n">
        <v>3821</v>
      </c>
      <c r="D16" s="26" t="n">
        <v>7642</v>
      </c>
      <c r="E16" s="26" t="n">
        <v>3821</v>
      </c>
      <c r="F16" s="26" t="n">
        <v>38208</v>
      </c>
      <c r="G16" s="26" t="n">
        <v>22925</v>
      </c>
      <c r="H16" s="26" t="n">
        <v>0</v>
      </c>
      <c r="I16" s="26" t="n">
        <v>0</v>
      </c>
      <c r="J16" s="26" t="n">
        <v>19998</v>
      </c>
      <c r="K16" s="17">
        <f>SUM(B16:J16)</f>
        <v>101000</v>
      </c>
    </row>
    <row r="17">
      <c r="A17" t="inlineStr">
        <is>
          <t>FY2042</t>
        </is>
      </c>
      <c r="B17" s="26" t="n">
        <v>6000</v>
      </c>
      <c r="C17" s="26" t="n">
        <v>5000</v>
      </c>
      <c r="D17" s="26" t="n">
        <v>10000</v>
      </c>
      <c r="E17" s="26" t="n">
        <v>5000</v>
      </c>
      <c r="F17" s="26" t="n">
        <v>50000</v>
      </c>
      <c r="G17" s="26" t="n">
        <v>30000</v>
      </c>
      <c r="H17" s="26" t="n">
        <v>0</v>
      </c>
      <c r="I17" s="26" t="n">
        <v>0</v>
      </c>
      <c r="J17" s="26" t="n">
        <v>20000</v>
      </c>
      <c r="K17" s="17">
        <f>SUM(B17:J17)</f>
        <v>126000</v>
      </c>
    </row>
    <row r="18">
      <c r="A18" s="16" t="inlineStr">
        <is>
          <t>Total</t>
        </is>
      </c>
      <c r="K18" s="17">
        <f>SUM(K3:K17)</f>
        <v>1741000</v>
      </c>
    </row>
    <row r="19">
      <c r="A19" s="14" t="inlineStr">
        <is>
          <t>Other flows</t>
        </is>
      </c>
      <c r="B19" s="14" t="inlineStr">
        <is>
          <t>Bridge</t>
        </is>
      </c>
      <c r="C19" s="14" t="inlineStr">
        <is>
          <t>Garage</t>
        </is>
      </c>
      <c r="D19" s="14" t="inlineStr">
        <is>
          <t>Town Hall</t>
        </is>
      </c>
      <c r="E19" s="14" t="inlineStr">
        <is>
          <t>Courts</t>
        </is>
      </c>
      <c r="F19" s="14" t="inlineStr">
        <is>
          <t>A&amp;E</t>
        </is>
      </c>
      <c r="G19" s="14" t="inlineStr">
        <is>
          <t>Paving</t>
        </is>
      </c>
      <c r="H19" s="14" t="inlineStr">
        <is>
          <t>Proceeds</t>
        </is>
      </c>
      <c r="I19" s="14" t="inlineStr">
        <is>
          <t>Cap Reserve</t>
        </is>
      </c>
      <c r="J19" s="14" t="inlineStr"/>
      <c r="K19" s="14" t="inlineStr"/>
    </row>
    <row r="20">
      <c r="A20" t="inlineStr">
        <is>
          <t>FY2028</t>
        </is>
      </c>
      <c r="B20" s="26" t="n">
        <v>357</v>
      </c>
      <c r="C20" s="26" t="n">
        <v>-10750</v>
      </c>
      <c r="D20" s="26" t="n">
        <v>656</v>
      </c>
      <c r="E20" s="26" t="n">
        <v>129</v>
      </c>
      <c r="F20" s="26" t="n">
        <v>-148047</v>
      </c>
      <c r="G20" s="26" t="n">
        <v>-29703</v>
      </c>
      <c r="H20" s="26" t="n">
        <v>1232438</v>
      </c>
      <c r="I20" s="26" t="n">
        <v>0</v>
      </c>
    </row>
    <row r="21">
      <c r="A21" t="inlineStr">
        <is>
          <t>FY2029</t>
        </is>
      </c>
      <c r="B21" s="26" t="n">
        <v>401</v>
      </c>
      <c r="C21" s="26" t="n">
        <v>209</v>
      </c>
      <c r="D21" s="26" t="n">
        <v>-19270</v>
      </c>
      <c r="E21" s="26" t="n">
        <v>165</v>
      </c>
      <c r="F21" s="26" t="n">
        <v>17</v>
      </c>
      <c r="G21" s="26" t="n">
        <v>-29702</v>
      </c>
      <c r="H21" s="26" t="n">
        <v>8627</v>
      </c>
      <c r="I21" s="26" t="n">
        <v>0</v>
      </c>
    </row>
    <row r="22">
      <c r="A22" t="inlineStr">
        <is>
          <t>FY2030</t>
        </is>
      </c>
      <c r="B22" s="26" t="n">
        <v>437</v>
      </c>
      <c r="C22" s="26" t="n">
        <v>237</v>
      </c>
      <c r="D22" s="26" t="n">
        <v>-24350</v>
      </c>
      <c r="E22" s="26" t="n">
        <v>193</v>
      </c>
      <c r="F22" s="26" t="n">
        <v>284</v>
      </c>
      <c r="G22" s="26" t="n">
        <v>-29749</v>
      </c>
      <c r="H22" s="26" t="n">
        <v>-794203</v>
      </c>
      <c r="I22" s="26" t="n">
        <v>0</v>
      </c>
    </row>
    <row r="23">
      <c r="A23" t="inlineStr">
        <is>
          <t>FY2031</t>
        </is>
      </c>
      <c r="B23" s="26" t="n">
        <v>481</v>
      </c>
      <c r="C23" s="26" t="n">
        <v>274</v>
      </c>
      <c r="D23" s="26" t="n">
        <v>-19452</v>
      </c>
      <c r="E23" s="26" t="n">
        <v>229</v>
      </c>
      <c r="F23" s="26" t="n">
        <v>636</v>
      </c>
      <c r="G23" s="26" t="n">
        <v>-29748</v>
      </c>
      <c r="H23" s="26" t="n">
        <v>-426419</v>
      </c>
      <c r="I23" s="26" t="n">
        <v>0</v>
      </c>
    </row>
    <row r="24">
      <c r="A24" t="inlineStr">
        <is>
          <t>FY2032</t>
        </is>
      </c>
      <c r="B24" s="26" t="n">
        <v>517</v>
      </c>
      <c r="C24" s="26" t="n">
        <v>303</v>
      </c>
      <c r="D24" s="26" t="n">
        <v>-28534</v>
      </c>
      <c r="E24" s="26" t="n">
        <v>258</v>
      </c>
      <c r="F24" s="26" t="n">
        <v>909</v>
      </c>
      <c r="G24" s="26" t="n">
        <v>-29795</v>
      </c>
      <c r="H24" s="26" t="n">
        <v>143</v>
      </c>
      <c r="I24" s="26" t="n">
        <v>0</v>
      </c>
    </row>
    <row r="25">
      <c r="A25" t="inlineStr">
        <is>
          <t>FY2033</t>
        </is>
      </c>
      <c r="B25" s="26" t="n">
        <v>562</v>
      </c>
      <c r="C25" s="26" t="n">
        <v>-8160</v>
      </c>
      <c r="D25" s="26" t="n">
        <v>336</v>
      </c>
      <c r="E25" s="26" t="n">
        <v>295</v>
      </c>
      <c r="F25" s="26" t="n">
        <v>1264</v>
      </c>
      <c r="G25" s="26" t="n">
        <v>-29794</v>
      </c>
      <c r="H25" s="26" t="n">
        <v>144</v>
      </c>
      <c r="I25" s="26" t="n">
        <v>0</v>
      </c>
    </row>
    <row r="26">
      <c r="A26" t="inlineStr">
        <is>
          <t>FY2034</t>
        </is>
      </c>
      <c r="B26" s="26" t="n">
        <v>599</v>
      </c>
      <c r="C26" s="26" t="n">
        <v>309</v>
      </c>
      <c r="D26" s="26" t="n">
        <v>392</v>
      </c>
      <c r="E26" s="26" t="n">
        <v>323</v>
      </c>
      <c r="F26" s="26" t="n">
        <v>1541</v>
      </c>
      <c r="G26" s="26" t="n">
        <v>-29841</v>
      </c>
      <c r="H26" s="26" t="n">
        <v>145</v>
      </c>
      <c r="I26" s="26" t="n">
        <v>0</v>
      </c>
    </row>
    <row r="27">
      <c r="A27" t="inlineStr">
        <is>
          <t>FY2035</t>
        </is>
      </c>
      <c r="B27" s="26" t="n">
        <v>644</v>
      </c>
      <c r="C27" s="26" t="n">
        <v>347</v>
      </c>
      <c r="D27" s="26" t="n">
        <v>-19535</v>
      </c>
      <c r="E27" s="26" t="n">
        <v>360</v>
      </c>
      <c r="F27" s="26" t="n">
        <v>-244599</v>
      </c>
      <c r="G27" s="26" t="n">
        <v>-29841</v>
      </c>
      <c r="H27" s="26" t="n">
        <v>146</v>
      </c>
      <c r="I27" s="26" t="n">
        <v>0</v>
      </c>
    </row>
    <row r="28">
      <c r="A28" t="inlineStr">
        <is>
          <t>FY2036</t>
        </is>
      </c>
      <c r="B28" s="26" t="n">
        <v>681</v>
      </c>
      <c r="C28" s="26" t="n">
        <v>376</v>
      </c>
      <c r="D28" s="26" t="n">
        <v>382</v>
      </c>
      <c r="E28" s="26" t="n">
        <v>390</v>
      </c>
      <c r="F28" s="26" t="n">
        <v>457</v>
      </c>
      <c r="G28" s="26" t="n">
        <v>-29889</v>
      </c>
      <c r="H28" s="26" t="n">
        <v>147</v>
      </c>
      <c r="I28" s="26" t="n">
        <v>0</v>
      </c>
    </row>
    <row r="29">
      <c r="A29" t="inlineStr">
        <is>
          <t>FY2037</t>
        </is>
      </c>
      <c r="B29" s="26" t="n">
        <v>728</v>
      </c>
      <c r="C29" s="26" t="n">
        <v>413</v>
      </c>
      <c r="D29" s="26" t="n">
        <v>-11546</v>
      </c>
      <c r="E29" s="26" t="n">
        <v>428</v>
      </c>
      <c r="F29" s="26" t="n">
        <v>-67190</v>
      </c>
      <c r="G29" s="26" t="n">
        <v>-29888</v>
      </c>
      <c r="H29" s="26" t="n">
        <v>148</v>
      </c>
      <c r="I29" s="26" t="n">
        <v>0</v>
      </c>
    </row>
    <row r="30">
      <c r="A30" t="inlineStr">
        <is>
          <t>FY2038</t>
        </is>
      </c>
      <c r="B30" s="26" t="n">
        <v>766</v>
      </c>
      <c r="C30" s="26" t="n">
        <v>443</v>
      </c>
      <c r="D30" s="26" t="n">
        <v>427</v>
      </c>
      <c r="E30" s="26" t="n">
        <v>457</v>
      </c>
      <c r="F30" s="26" t="n">
        <v>608</v>
      </c>
      <c r="G30" s="26" t="n">
        <v>-29937</v>
      </c>
      <c r="H30" s="26" t="n">
        <v>150</v>
      </c>
      <c r="I30" s="26" t="n">
        <v>0</v>
      </c>
    </row>
    <row r="31">
      <c r="A31" t="inlineStr">
        <is>
          <t>FY2039</t>
        </is>
      </c>
      <c r="B31" s="26" t="n">
        <v>812</v>
      </c>
      <c r="C31" s="26" t="n">
        <v>481</v>
      </c>
      <c r="D31" s="26" t="n">
        <v>499</v>
      </c>
      <c r="E31" s="26" t="n">
        <v>495</v>
      </c>
      <c r="F31" s="26" t="n">
        <v>961</v>
      </c>
      <c r="G31" s="26" t="n">
        <v>-29937</v>
      </c>
      <c r="H31" s="26" t="n">
        <v>150</v>
      </c>
      <c r="I31" s="26" t="n">
        <v>0</v>
      </c>
    </row>
    <row r="32">
      <c r="A32" t="inlineStr">
        <is>
          <t>FY2040</t>
        </is>
      </c>
      <c r="B32" s="26" t="n">
        <v>850</v>
      </c>
      <c r="C32" s="26" t="n">
        <v>512</v>
      </c>
      <c r="D32" s="26" t="n">
        <v>558</v>
      </c>
      <c r="E32" s="26" t="n">
        <v>526</v>
      </c>
      <c r="F32" s="26" t="n">
        <v>-168764</v>
      </c>
      <c r="G32" s="26" t="n">
        <v>-29985</v>
      </c>
      <c r="H32" s="26" t="n">
        <v>151</v>
      </c>
      <c r="I32" s="26" t="n">
        <v>0</v>
      </c>
    </row>
    <row r="33">
      <c r="A33" t="inlineStr">
        <is>
          <t>FY2041</t>
        </is>
      </c>
      <c r="B33" s="26" t="n">
        <v>899</v>
      </c>
      <c r="C33" s="26" t="n">
        <v>549</v>
      </c>
      <c r="D33" s="26" t="n">
        <v>630</v>
      </c>
      <c r="E33" s="26" t="n">
        <v>564</v>
      </c>
      <c r="F33" s="26" t="n">
        <v>404</v>
      </c>
      <c r="G33" s="26" t="n">
        <v>-29986</v>
      </c>
      <c r="H33" s="26" t="n">
        <v>152</v>
      </c>
      <c r="I33" s="26" t="n">
        <v>0</v>
      </c>
    </row>
    <row r="34">
      <c r="A34" t="inlineStr">
        <is>
          <t>FY2042</t>
        </is>
      </c>
      <c r="B34" s="26" t="n">
        <v>936</v>
      </c>
      <c r="C34" s="26" t="n">
        <v>581</v>
      </c>
      <c r="D34" s="26" t="n">
        <v>-24311</v>
      </c>
      <c r="E34" s="26" t="n">
        <v>596</v>
      </c>
      <c r="F34" s="26" t="n">
        <v>675</v>
      </c>
      <c r="G34" s="26" t="n">
        <v>-30000</v>
      </c>
      <c r="H34" s="26" t="n">
        <v>154</v>
      </c>
      <c r="I34" s="26" t="n">
        <v>0</v>
      </c>
    </row>
    <row r="36" ht="40" customHeight="1">
      <c r="A36" s="4" t="inlineStr">
        <is>
          <t>Save $50,000 more a year</t>
        </is>
      </c>
      <c r="B36" s="33" t="inlineStr">
        <is>
          <t>Floor-then-steer, debt service on the tax line: each fund first receives its current-year small purchases; the remainder is steered to funds with needs inside three years; any excess to Asset &amp; Equipment. Bridge and Courts receive nothing — no scheduled work.</t>
        </is>
      </c>
    </row>
    <row r="37">
      <c r="A37" s="14" t="inlineStr">
        <is>
          <t>Deposits</t>
        </is>
      </c>
      <c r="B37" s="14" t="inlineStr">
        <is>
          <t>Bridge</t>
        </is>
      </c>
      <c r="C37" s="14" t="inlineStr">
        <is>
          <t>Garage</t>
        </is>
      </c>
      <c r="D37" s="14" t="inlineStr">
        <is>
          <t>Town Hall</t>
        </is>
      </c>
      <c r="E37" s="14" t="inlineStr">
        <is>
          <t>Courts</t>
        </is>
      </c>
      <c r="F37" s="14" t="inlineStr">
        <is>
          <t>A&amp;E</t>
        </is>
      </c>
      <c r="G37" s="14" t="inlineStr">
        <is>
          <t>Paving</t>
        </is>
      </c>
      <c r="H37" s="14" t="inlineStr">
        <is>
          <t>Proceeds</t>
        </is>
      </c>
      <c r="I37" s="14" t="inlineStr">
        <is>
          <t>Cap Reserve</t>
        </is>
      </c>
      <c r="J37" s="14" t="inlineStr">
        <is>
          <t>Direct spend (no fund)</t>
        </is>
      </c>
      <c r="K37" s="14" t="inlineStr">
        <is>
          <t>Total uses</t>
        </is>
      </c>
    </row>
    <row r="38">
      <c r="A38" t="inlineStr">
        <is>
          <t>FY2028</t>
        </is>
      </c>
      <c r="B38" s="26" t="n">
        <v>0</v>
      </c>
      <c r="C38" s="26" t="n">
        <v>0</v>
      </c>
      <c r="D38" s="26" t="n">
        <v>0</v>
      </c>
      <c r="E38" s="26" t="n">
        <v>0</v>
      </c>
      <c r="F38" s="26" t="n">
        <v>124292</v>
      </c>
      <c r="G38" s="26" t="n">
        <v>31708</v>
      </c>
      <c r="H38" s="26" t="n">
        <v>0</v>
      </c>
      <c r="I38" s="26" t="n">
        <v>0</v>
      </c>
      <c r="J38" s="26" t="n">
        <v>20000</v>
      </c>
      <c r="K38" s="17">
        <f>SUM(B38:J38)</f>
        <v>176000</v>
      </c>
    </row>
    <row r="39">
      <c r="A39" t="inlineStr">
        <is>
          <t>FY2029</t>
        </is>
      </c>
      <c r="B39" s="26" t="n">
        <v>0</v>
      </c>
      <c r="C39" s="26" t="n">
        <v>0</v>
      </c>
      <c r="D39" s="26" t="n">
        <v>0</v>
      </c>
      <c r="E39" s="26" t="n">
        <v>0</v>
      </c>
      <c r="F39" s="26" t="n">
        <v>126000</v>
      </c>
      <c r="G39" s="26" t="n">
        <v>30000</v>
      </c>
      <c r="H39" s="26" t="n">
        <v>0</v>
      </c>
      <c r="I39" s="26" t="n">
        <v>0</v>
      </c>
      <c r="J39" s="26" t="n">
        <v>31000</v>
      </c>
      <c r="K39" s="17">
        <f>SUM(B39:J39)</f>
        <v>187000</v>
      </c>
    </row>
    <row r="40">
      <c r="A40" t="inlineStr">
        <is>
          <t>FY2030</t>
        </is>
      </c>
      <c r="B40" s="26" t="n">
        <v>0</v>
      </c>
      <c r="C40" s="26" t="n">
        <v>0</v>
      </c>
      <c r="D40" s="26" t="n">
        <v>0</v>
      </c>
      <c r="E40" s="26" t="n">
        <v>0</v>
      </c>
      <c r="F40" s="26" t="n">
        <v>126000</v>
      </c>
      <c r="G40" s="26" t="n">
        <v>30000</v>
      </c>
      <c r="H40" s="26" t="n">
        <v>0</v>
      </c>
      <c r="I40" s="26" t="n">
        <v>0</v>
      </c>
      <c r="J40" s="26" t="n">
        <v>20000</v>
      </c>
      <c r="K40" s="17">
        <f>SUM(B40:J40)</f>
        <v>176000</v>
      </c>
    </row>
    <row r="41">
      <c r="A41" t="inlineStr">
        <is>
          <t>FY2031</t>
        </is>
      </c>
      <c r="B41" s="26" t="n">
        <v>0</v>
      </c>
      <c r="C41" s="26" t="n">
        <v>0</v>
      </c>
      <c r="D41" s="26" t="n">
        <v>0</v>
      </c>
      <c r="E41" s="26" t="n">
        <v>0</v>
      </c>
      <c r="F41" s="26" t="n">
        <v>126000</v>
      </c>
      <c r="G41" s="26" t="n">
        <v>30000</v>
      </c>
      <c r="H41" s="26" t="n">
        <v>0</v>
      </c>
      <c r="I41" s="26" t="n">
        <v>0</v>
      </c>
      <c r="J41" s="26" t="n">
        <v>20000</v>
      </c>
      <c r="K41" s="17">
        <f>SUM(B41:J41)</f>
        <v>176000</v>
      </c>
    </row>
    <row r="42">
      <c r="A42" t="inlineStr">
        <is>
          <t>FY2032</t>
        </is>
      </c>
      <c r="B42" s="26" t="n">
        <v>0</v>
      </c>
      <c r="C42" s="26" t="n">
        <v>0</v>
      </c>
      <c r="D42" s="26" t="n">
        <v>0</v>
      </c>
      <c r="E42" s="26" t="n">
        <v>0</v>
      </c>
      <c r="F42" s="26" t="n">
        <v>126000</v>
      </c>
      <c r="G42" s="26" t="n">
        <v>30000</v>
      </c>
      <c r="H42" s="26" t="n">
        <v>0</v>
      </c>
      <c r="I42" s="26" t="n">
        <v>0</v>
      </c>
      <c r="J42" s="26" t="n">
        <v>20000</v>
      </c>
      <c r="K42" s="17">
        <f>SUM(B42:J42)</f>
        <v>176000</v>
      </c>
    </row>
    <row r="43">
      <c r="A43" t="inlineStr">
        <is>
          <t>FY2033</t>
        </is>
      </c>
      <c r="B43" s="26" t="n">
        <v>0</v>
      </c>
      <c r="C43" s="26" t="n">
        <v>0</v>
      </c>
      <c r="D43" s="26" t="n">
        <v>3824</v>
      </c>
      <c r="E43" s="26" t="n">
        <v>0</v>
      </c>
      <c r="F43" s="26" t="n">
        <v>122176</v>
      </c>
      <c r="G43" s="26" t="n">
        <v>30000</v>
      </c>
      <c r="H43" s="26" t="n">
        <v>0</v>
      </c>
      <c r="I43" s="26" t="n">
        <v>0</v>
      </c>
      <c r="J43" s="26" t="n">
        <v>20000</v>
      </c>
      <c r="K43" s="17">
        <f>SUM(B43:J43)</f>
        <v>176000</v>
      </c>
    </row>
    <row r="44">
      <c r="A44" t="inlineStr">
        <is>
          <t>FY2034</t>
        </is>
      </c>
      <c r="B44" s="26" t="n">
        <v>0</v>
      </c>
      <c r="C44" s="26" t="n">
        <v>0</v>
      </c>
      <c r="D44" s="26" t="n">
        <v>2351</v>
      </c>
      <c r="E44" s="26" t="n">
        <v>0</v>
      </c>
      <c r="F44" s="26" t="n">
        <v>123649</v>
      </c>
      <c r="G44" s="26" t="n">
        <v>30000</v>
      </c>
      <c r="H44" s="26" t="n">
        <v>0</v>
      </c>
      <c r="I44" s="26" t="n">
        <v>0</v>
      </c>
      <c r="J44" s="26" t="n">
        <v>20000</v>
      </c>
      <c r="K44" s="17">
        <f>SUM(B44:J44)</f>
        <v>176000</v>
      </c>
    </row>
    <row r="45">
      <c r="A45" t="inlineStr">
        <is>
          <t>FY2035</t>
        </is>
      </c>
      <c r="B45" s="26" t="n">
        <v>0</v>
      </c>
      <c r="C45" s="26" t="n">
        <v>0</v>
      </c>
      <c r="D45" s="26" t="n">
        <v>1573</v>
      </c>
      <c r="E45" s="26" t="n">
        <v>0</v>
      </c>
      <c r="F45" s="26" t="n">
        <v>124427</v>
      </c>
      <c r="G45" s="26" t="n">
        <v>30000</v>
      </c>
      <c r="H45" s="26" t="n">
        <v>0</v>
      </c>
      <c r="I45" s="26" t="n">
        <v>0</v>
      </c>
      <c r="J45" s="26" t="n">
        <v>20000</v>
      </c>
      <c r="K45" s="17">
        <f>SUM(B45:J45)</f>
        <v>176000</v>
      </c>
    </row>
    <row r="46">
      <c r="A46" t="inlineStr">
        <is>
          <t>FY2036</t>
        </is>
      </c>
      <c r="B46" s="26" t="n">
        <v>0</v>
      </c>
      <c r="C46" s="26" t="n">
        <v>0</v>
      </c>
      <c r="D46" s="26" t="n">
        <v>9994</v>
      </c>
      <c r="E46" s="26" t="n">
        <v>0</v>
      </c>
      <c r="F46" s="26" t="n">
        <v>116006</v>
      </c>
      <c r="G46" s="26" t="n">
        <v>30000</v>
      </c>
      <c r="H46" s="26" t="n">
        <v>0</v>
      </c>
      <c r="I46" s="26" t="n">
        <v>0</v>
      </c>
      <c r="J46" s="26" t="n">
        <v>20000</v>
      </c>
      <c r="K46" s="17">
        <f>SUM(B46:J46)</f>
        <v>176000</v>
      </c>
    </row>
    <row r="47">
      <c r="A47" t="inlineStr">
        <is>
          <t>FY2037</t>
        </is>
      </c>
      <c r="B47" s="26" t="n">
        <v>0</v>
      </c>
      <c r="C47" s="26" t="n">
        <v>0</v>
      </c>
      <c r="D47" s="26" t="n">
        <v>12000</v>
      </c>
      <c r="E47" s="26" t="n">
        <v>0</v>
      </c>
      <c r="F47" s="26" t="n">
        <v>73544</v>
      </c>
      <c r="G47" s="26" t="n">
        <v>70456</v>
      </c>
      <c r="H47" s="26" t="n">
        <v>0</v>
      </c>
      <c r="I47" s="26" t="n">
        <v>0</v>
      </c>
      <c r="J47" s="26" t="n">
        <v>20000</v>
      </c>
      <c r="K47" s="17">
        <f>SUM(B47:J47)</f>
        <v>176000</v>
      </c>
    </row>
    <row r="48">
      <c r="A48" t="inlineStr">
        <is>
          <t>FY2038</t>
        </is>
      </c>
      <c r="B48" s="26" t="n">
        <v>0</v>
      </c>
      <c r="C48" s="26" t="n">
        <v>0</v>
      </c>
      <c r="D48" s="26" t="n">
        <v>0</v>
      </c>
      <c r="E48" s="26" t="n">
        <v>0</v>
      </c>
      <c r="F48" s="26" t="n">
        <v>103012</v>
      </c>
      <c r="G48" s="26" t="n">
        <v>52988</v>
      </c>
      <c r="H48" s="26" t="n">
        <v>0</v>
      </c>
      <c r="I48" s="26" t="n">
        <v>0</v>
      </c>
      <c r="J48" s="26" t="n">
        <v>20000</v>
      </c>
      <c r="K48" s="17">
        <f>SUM(B48:J48)</f>
        <v>176000</v>
      </c>
    </row>
    <row r="49">
      <c r="A49" t="inlineStr">
        <is>
          <t>FY2039</t>
        </is>
      </c>
      <c r="B49" s="26" t="n">
        <v>0</v>
      </c>
      <c r="C49" s="26" t="n">
        <v>0</v>
      </c>
      <c r="D49" s="26" t="n">
        <v>0</v>
      </c>
      <c r="E49" s="26" t="n">
        <v>0</v>
      </c>
      <c r="F49" s="26" t="n">
        <v>90230</v>
      </c>
      <c r="G49" s="26" t="n">
        <v>65770</v>
      </c>
      <c r="H49" s="26" t="n">
        <v>0</v>
      </c>
      <c r="I49" s="26" t="n">
        <v>0</v>
      </c>
      <c r="J49" s="26" t="n">
        <v>20000</v>
      </c>
      <c r="K49" s="17">
        <f>SUM(B49:J49)</f>
        <v>176000</v>
      </c>
    </row>
    <row r="50">
      <c r="A50" t="inlineStr">
        <is>
          <t>FY2040</t>
        </is>
      </c>
      <c r="B50" s="26" t="n">
        <v>0</v>
      </c>
      <c r="C50" s="26" t="n">
        <v>0</v>
      </c>
      <c r="D50" s="26" t="n">
        <v>6308</v>
      </c>
      <c r="E50" s="26" t="n">
        <v>0</v>
      </c>
      <c r="F50" s="26" t="n">
        <v>119692</v>
      </c>
      <c r="G50" s="26" t="n">
        <v>30000</v>
      </c>
      <c r="H50" s="26" t="n">
        <v>0</v>
      </c>
      <c r="I50" s="26" t="n">
        <v>0</v>
      </c>
      <c r="J50" s="26" t="n">
        <v>35000</v>
      </c>
      <c r="K50" s="17">
        <f>SUM(B50:J50)</f>
        <v>191000</v>
      </c>
    </row>
    <row r="51">
      <c r="A51" t="inlineStr">
        <is>
          <t>FY2041</t>
        </is>
      </c>
      <c r="B51" s="26" t="n">
        <v>0</v>
      </c>
      <c r="C51" s="26" t="n">
        <v>0</v>
      </c>
      <c r="D51" s="26" t="n">
        <v>8862</v>
      </c>
      <c r="E51" s="26" t="n">
        <v>0</v>
      </c>
      <c r="F51" s="26" t="n">
        <v>117138</v>
      </c>
      <c r="G51" s="26" t="n">
        <v>30000</v>
      </c>
      <c r="H51" s="26" t="n">
        <v>0</v>
      </c>
      <c r="I51" s="26" t="n">
        <v>0</v>
      </c>
      <c r="J51" s="26" t="n">
        <v>20000</v>
      </c>
      <c r="K51" s="17">
        <f>SUM(B51:J51)</f>
        <v>176000</v>
      </c>
    </row>
    <row r="52">
      <c r="A52" t="inlineStr">
        <is>
          <t>FY2042</t>
        </is>
      </c>
      <c r="B52" s="26" t="n">
        <v>0</v>
      </c>
      <c r="C52" s="26" t="n">
        <v>0</v>
      </c>
      <c r="D52" s="26" t="n">
        <v>8824</v>
      </c>
      <c r="E52" s="26" t="n">
        <v>0</v>
      </c>
      <c r="F52" s="26" t="n">
        <v>117176</v>
      </c>
      <c r="G52" s="26" t="n">
        <v>30000</v>
      </c>
      <c r="H52" s="26" t="n">
        <v>0</v>
      </c>
      <c r="I52" s="26" t="n">
        <v>0</v>
      </c>
      <c r="J52" s="26" t="n">
        <v>20000</v>
      </c>
      <c r="K52" s="17">
        <f>SUM(B52:J52)</f>
        <v>176000</v>
      </c>
    </row>
    <row r="53">
      <c r="A53" s="16" t="inlineStr">
        <is>
          <t>Total</t>
        </is>
      </c>
      <c r="K53" s="17">
        <f>SUM(K38:K52)</f>
        <v>2666000</v>
      </c>
    </row>
    <row r="54">
      <c r="A54" s="14" t="inlineStr">
        <is>
          <t>Other flows</t>
        </is>
      </c>
      <c r="B54" s="14" t="inlineStr">
        <is>
          <t>Bridge</t>
        </is>
      </c>
      <c r="C54" s="14" t="inlineStr">
        <is>
          <t>Garage</t>
        </is>
      </c>
      <c r="D54" s="14" t="inlineStr">
        <is>
          <t>Town Hall</t>
        </is>
      </c>
      <c r="E54" s="14" t="inlineStr">
        <is>
          <t>Courts</t>
        </is>
      </c>
      <c r="F54" s="14" t="inlineStr">
        <is>
          <t>A&amp;E</t>
        </is>
      </c>
      <c r="G54" s="14" t="inlineStr">
        <is>
          <t>Paving</t>
        </is>
      </c>
      <c r="H54" s="14" t="inlineStr">
        <is>
          <t>Proceeds</t>
        </is>
      </c>
      <c r="I54" s="14" t="inlineStr">
        <is>
          <t>Cap Reserve</t>
        </is>
      </c>
      <c r="J54" s="14" t="inlineStr"/>
      <c r="K54" s="14" t="inlineStr"/>
    </row>
    <row r="55">
      <c r="A55" t="inlineStr">
        <is>
          <t>FY2028</t>
        </is>
      </c>
      <c r="B55" s="26" t="n">
        <v>357</v>
      </c>
      <c r="C55" s="26" t="n">
        <v>-10750</v>
      </c>
      <c r="D55" s="26" t="n">
        <v>656</v>
      </c>
      <c r="E55" s="26" t="n">
        <v>129</v>
      </c>
      <c r="F55" s="26" t="n">
        <v>-224755</v>
      </c>
      <c r="G55" s="26" t="n">
        <v>-74067</v>
      </c>
      <c r="H55" s="26" t="n">
        <v>1106438</v>
      </c>
      <c r="I55" s="26" t="n">
        <v>0</v>
      </c>
    </row>
    <row r="56">
      <c r="A56" t="inlineStr">
        <is>
          <t>FY2029</t>
        </is>
      </c>
      <c r="B56" s="26" t="n">
        <v>359</v>
      </c>
      <c r="C56" s="26" t="n">
        <v>174</v>
      </c>
      <c r="D56" s="26" t="n">
        <v>-19339</v>
      </c>
      <c r="E56" s="26" t="n">
        <v>130</v>
      </c>
      <c r="F56" s="26" t="n">
        <v>-126000</v>
      </c>
      <c r="G56" s="26" t="n">
        <v>-30000</v>
      </c>
      <c r="H56" s="26" t="n">
        <v>7746</v>
      </c>
      <c r="I56" s="26" t="n">
        <v>0</v>
      </c>
    </row>
    <row r="57">
      <c r="A57" t="inlineStr">
        <is>
          <t>FY2030</t>
        </is>
      </c>
      <c r="B57" s="26" t="n">
        <v>362</v>
      </c>
      <c r="C57" s="26" t="n">
        <v>175</v>
      </c>
      <c r="D57" s="26" t="n">
        <v>-24475</v>
      </c>
      <c r="E57" s="26" t="n">
        <v>132</v>
      </c>
      <c r="F57" s="26" t="n">
        <v>-126000</v>
      </c>
      <c r="G57" s="26" t="n">
        <v>-30000</v>
      </c>
      <c r="H57" s="26" t="n">
        <v>-795092</v>
      </c>
      <c r="I57" s="26" t="n">
        <v>0</v>
      </c>
    </row>
    <row r="58">
      <c r="A58" t="inlineStr">
        <is>
          <t>FY2031</t>
        </is>
      </c>
      <c r="B58" s="26" t="n">
        <v>365</v>
      </c>
      <c r="C58" s="26" t="n">
        <v>177</v>
      </c>
      <c r="D58" s="26" t="n">
        <v>-19646</v>
      </c>
      <c r="E58" s="26" t="n">
        <v>132</v>
      </c>
      <c r="F58" s="26" t="n">
        <v>-126000</v>
      </c>
      <c r="G58" s="26" t="n">
        <v>-30000</v>
      </c>
      <c r="H58" s="26" t="n">
        <v>-301314</v>
      </c>
      <c r="I58" s="26" t="n">
        <v>0</v>
      </c>
    </row>
    <row r="59">
      <c r="A59" t="inlineStr">
        <is>
          <t>FY2032</t>
        </is>
      </c>
      <c r="B59" s="26" t="n">
        <v>367</v>
      </c>
      <c r="C59" s="26" t="n">
        <v>178</v>
      </c>
      <c r="D59" s="26" t="n">
        <v>-28783</v>
      </c>
      <c r="E59" s="26" t="n">
        <v>132</v>
      </c>
      <c r="F59" s="26" t="n">
        <v>0</v>
      </c>
      <c r="G59" s="26" t="n">
        <v>-30000</v>
      </c>
      <c r="H59" s="26" t="n">
        <v>125</v>
      </c>
      <c r="I59" s="26" t="n">
        <v>0</v>
      </c>
    </row>
    <row r="60">
      <c r="A60" t="inlineStr">
        <is>
          <t>FY2033</t>
        </is>
      </c>
      <c r="B60" s="26" t="n">
        <v>369</v>
      </c>
      <c r="C60" s="26" t="n">
        <v>-8321</v>
      </c>
      <c r="D60" s="26" t="n">
        <v>15</v>
      </c>
      <c r="E60" s="26" t="n">
        <v>134</v>
      </c>
      <c r="F60" s="26" t="n">
        <v>882</v>
      </c>
      <c r="G60" s="26" t="n">
        <v>-30000</v>
      </c>
      <c r="H60" s="26" t="n">
        <v>125</v>
      </c>
      <c r="I60" s="26" t="n">
        <v>0</v>
      </c>
    </row>
    <row r="61">
      <c r="A61" t="inlineStr">
        <is>
          <t>FY2034</t>
        </is>
      </c>
      <c r="B61" s="26" t="n">
        <v>372</v>
      </c>
      <c r="C61" s="26" t="n">
        <v>121</v>
      </c>
      <c r="D61" s="26" t="n">
        <v>42</v>
      </c>
      <c r="E61" s="26" t="n">
        <v>135</v>
      </c>
      <c r="F61" s="26" t="n">
        <v>1743</v>
      </c>
      <c r="G61" s="26" t="n">
        <v>-30000</v>
      </c>
      <c r="H61" s="26" t="n">
        <v>126</v>
      </c>
      <c r="I61" s="26" t="n">
        <v>0</v>
      </c>
    </row>
    <row r="62">
      <c r="A62" t="inlineStr">
        <is>
          <t>FY2035</t>
        </is>
      </c>
      <c r="B62" s="26" t="n">
        <v>375</v>
      </c>
      <c r="C62" s="26" t="n">
        <v>122</v>
      </c>
      <c r="D62" s="26" t="n">
        <v>-19941</v>
      </c>
      <c r="E62" s="26" t="n">
        <v>136</v>
      </c>
      <c r="F62" s="26" t="n">
        <v>-498877</v>
      </c>
      <c r="G62" s="26" t="n">
        <v>-30000</v>
      </c>
      <c r="H62" s="26" t="n">
        <v>128</v>
      </c>
      <c r="I62" s="26" t="n">
        <v>0</v>
      </c>
    </row>
    <row r="63">
      <c r="A63" t="inlineStr">
        <is>
          <t>FY2036</t>
        </is>
      </c>
      <c r="B63" s="26" t="n">
        <v>378</v>
      </c>
      <c r="C63" s="26" t="n">
        <v>123</v>
      </c>
      <c r="D63" s="26" t="n">
        <v>0</v>
      </c>
      <c r="E63" s="26" t="n">
        <v>136</v>
      </c>
      <c r="F63" s="26" t="n">
        <v>-116006</v>
      </c>
      <c r="G63" s="26" t="n">
        <v>-30000</v>
      </c>
      <c r="H63" s="26" t="n">
        <v>128</v>
      </c>
      <c r="I63" s="26" t="n">
        <v>0</v>
      </c>
    </row>
    <row r="64">
      <c r="A64" t="inlineStr">
        <is>
          <t>FY2037</t>
        </is>
      </c>
      <c r="B64" s="26" t="n">
        <v>380</v>
      </c>
      <c r="C64" s="26" t="n">
        <v>124</v>
      </c>
      <c r="D64" s="26" t="n">
        <v>-12000</v>
      </c>
      <c r="E64" s="26" t="n">
        <v>138</v>
      </c>
      <c r="F64" s="26" t="n">
        <v>-73544</v>
      </c>
      <c r="G64" s="26" t="n">
        <v>-30000</v>
      </c>
      <c r="H64" s="26" t="n">
        <v>128</v>
      </c>
      <c r="I64" s="26" t="n">
        <v>0</v>
      </c>
    </row>
    <row r="65">
      <c r="A65" t="inlineStr">
        <is>
          <t>FY2038</t>
        </is>
      </c>
      <c r="B65" s="26" t="n">
        <v>382</v>
      </c>
      <c r="C65" s="26" t="n">
        <v>124</v>
      </c>
      <c r="D65" s="26" t="n">
        <v>0</v>
      </c>
      <c r="E65" s="26" t="n">
        <v>139</v>
      </c>
      <c r="F65" s="26" t="n">
        <v>-103012</v>
      </c>
      <c r="G65" s="26" t="n">
        <v>-29718</v>
      </c>
      <c r="H65" s="26" t="n">
        <v>130</v>
      </c>
      <c r="I65" s="26" t="n">
        <v>0</v>
      </c>
    </row>
    <row r="66">
      <c r="A66" t="inlineStr">
        <is>
          <t>FY2039</t>
        </is>
      </c>
      <c r="B66" s="26" t="n">
        <v>386</v>
      </c>
      <c r="C66" s="26" t="n">
        <v>125</v>
      </c>
      <c r="D66" s="26" t="n">
        <v>0</v>
      </c>
      <c r="E66" s="26" t="n">
        <v>139</v>
      </c>
      <c r="F66" s="26" t="n">
        <v>0</v>
      </c>
      <c r="G66" s="26" t="n">
        <v>-129496</v>
      </c>
      <c r="H66" s="26" t="n">
        <v>131</v>
      </c>
      <c r="I66" s="26" t="n">
        <v>0</v>
      </c>
    </row>
    <row r="67">
      <c r="A67" t="inlineStr">
        <is>
          <t>FY2040</t>
        </is>
      </c>
      <c r="B67" s="26" t="n">
        <v>388</v>
      </c>
      <c r="C67" s="26" t="n">
        <v>126</v>
      </c>
      <c r="D67" s="26" t="n">
        <v>0</v>
      </c>
      <c r="E67" s="26" t="n">
        <v>141</v>
      </c>
      <c r="F67" s="26" t="n">
        <v>-209922</v>
      </c>
      <c r="G67" s="26" t="n">
        <v>-30000</v>
      </c>
      <c r="H67" s="26" t="n">
        <v>131</v>
      </c>
      <c r="I67" s="26" t="n">
        <v>0</v>
      </c>
    </row>
    <row r="68">
      <c r="A68" t="inlineStr">
        <is>
          <t>FY2041</t>
        </is>
      </c>
      <c r="B68" s="26" t="n">
        <v>391</v>
      </c>
      <c r="C68" s="26" t="n">
        <v>127</v>
      </c>
      <c r="D68" s="26" t="n">
        <v>44</v>
      </c>
      <c r="E68" s="26" t="n">
        <v>141</v>
      </c>
      <c r="F68" s="26" t="n">
        <v>0</v>
      </c>
      <c r="G68" s="26" t="n">
        <v>-30000</v>
      </c>
      <c r="H68" s="26" t="n">
        <v>133</v>
      </c>
      <c r="I68" s="26" t="n">
        <v>0</v>
      </c>
    </row>
    <row r="69">
      <c r="A69" t="inlineStr">
        <is>
          <t>FY2042</t>
        </is>
      </c>
      <c r="B69" s="26" t="n">
        <v>393</v>
      </c>
      <c r="C69" s="26" t="n">
        <v>128</v>
      </c>
      <c r="D69" s="26" t="n">
        <v>-24894</v>
      </c>
      <c r="E69" s="26" t="n">
        <v>143</v>
      </c>
      <c r="F69" s="26" t="n">
        <v>-245680</v>
      </c>
      <c r="G69" s="26" t="n">
        <v>-30000</v>
      </c>
      <c r="H69" s="26" t="n">
        <v>133</v>
      </c>
      <c r="I69" s="26" t="n">
        <v>0</v>
      </c>
    </row>
    <row r="71" ht="40" customHeight="1">
      <c r="A71" s="4" t="inlineStr">
        <is>
          <t>Phased start from $300k (reaches $500k in FY2032)</t>
        </is>
      </c>
      <c r="B71" s="33" t="inlineStr">
        <is>
          <t>Floor-then-steer inside the single budget line: each fund first receives its current-year small purchases and its note payments; the remainder is steered to funds with needs inside three years; any excess to Asset &amp; Equipment. Bridge and Courts receive nothing — no scheduled work.</t>
        </is>
      </c>
    </row>
    <row r="72">
      <c r="A72" s="14" t="inlineStr">
        <is>
          <t>Deposits</t>
        </is>
      </c>
      <c r="B72" s="14" t="inlineStr">
        <is>
          <t>Bridge</t>
        </is>
      </c>
      <c r="C72" s="14" t="inlineStr">
        <is>
          <t>Garage</t>
        </is>
      </c>
      <c r="D72" s="14" t="inlineStr">
        <is>
          <t>Town Hall</t>
        </is>
      </c>
      <c r="E72" s="14" t="inlineStr">
        <is>
          <t>Courts</t>
        </is>
      </c>
      <c r="F72" s="14" t="inlineStr">
        <is>
          <t>A&amp;E</t>
        </is>
      </c>
      <c r="G72" s="14" t="inlineStr">
        <is>
          <t>Paving</t>
        </is>
      </c>
      <c r="H72" s="14" t="inlineStr">
        <is>
          <t>Proceeds</t>
        </is>
      </c>
      <c r="I72" s="14" t="inlineStr">
        <is>
          <t>Cap Reserve</t>
        </is>
      </c>
      <c r="J72" s="14" t="inlineStr">
        <is>
          <t>Direct spend (no fund)</t>
        </is>
      </c>
      <c r="K72" s="14" t="inlineStr">
        <is>
          <t>Total uses</t>
        </is>
      </c>
    </row>
    <row r="73">
      <c r="A73" t="inlineStr">
        <is>
          <t>FY2028</t>
        </is>
      </c>
      <c r="B73" s="26" t="n">
        <v>0</v>
      </c>
      <c r="C73" s="26" t="n">
        <v>0</v>
      </c>
      <c r="D73" s="26" t="n">
        <v>0</v>
      </c>
      <c r="E73" s="26" t="n">
        <v>0</v>
      </c>
      <c r="F73" s="26" t="n">
        <v>187212</v>
      </c>
      <c r="G73" s="26" t="n">
        <v>47760</v>
      </c>
      <c r="H73" s="26" t="n">
        <v>0</v>
      </c>
      <c r="I73" s="26" t="n">
        <v>0</v>
      </c>
      <c r="J73" s="26" t="n">
        <v>20000</v>
      </c>
      <c r="K73" s="17">
        <f>SUM(B73:J73)</f>
        <v>254972</v>
      </c>
    </row>
    <row r="74">
      <c r="A74" t="inlineStr">
        <is>
          <t>FY2029</t>
        </is>
      </c>
      <c r="B74" s="26" t="n">
        <v>0</v>
      </c>
      <c r="C74" s="26" t="n">
        <v>0</v>
      </c>
      <c r="D74" s="26" t="n">
        <v>0</v>
      </c>
      <c r="E74" s="26" t="n">
        <v>0</v>
      </c>
      <c r="F74" s="26" t="n">
        <v>292224</v>
      </c>
      <c r="G74" s="26" t="n">
        <v>74424</v>
      </c>
      <c r="H74" s="26" t="n">
        <v>0</v>
      </c>
      <c r="I74" s="26" t="n">
        <v>0</v>
      </c>
      <c r="J74" s="26" t="n">
        <v>31000</v>
      </c>
      <c r="K74" s="17">
        <f>SUM(B74:J74)</f>
        <v>397648</v>
      </c>
    </row>
    <row r="75">
      <c r="A75" t="inlineStr">
        <is>
          <t>FY2030</t>
        </is>
      </c>
      <c r="B75" s="26" t="n">
        <v>0</v>
      </c>
      <c r="C75" s="26" t="n">
        <v>0</v>
      </c>
      <c r="D75" s="26" t="n">
        <v>0</v>
      </c>
      <c r="E75" s="26" t="n">
        <v>0</v>
      </c>
      <c r="F75" s="26" t="n">
        <v>423900</v>
      </c>
      <c r="G75" s="26" t="n">
        <v>74424</v>
      </c>
      <c r="H75" s="26" t="n">
        <v>0</v>
      </c>
      <c r="I75" s="26" t="n">
        <v>0</v>
      </c>
      <c r="J75" s="26" t="n">
        <v>20000</v>
      </c>
      <c r="K75" s="17">
        <f>SUM(B75:J75)</f>
        <v>518324</v>
      </c>
    </row>
    <row r="76">
      <c r="A76" t="inlineStr">
        <is>
          <t>FY2031</t>
        </is>
      </c>
      <c r="B76" s="26" t="n">
        <v>0</v>
      </c>
      <c r="C76" s="26" t="n">
        <v>0</v>
      </c>
      <c r="D76" s="26" t="n">
        <v>0</v>
      </c>
      <c r="E76" s="26" t="n">
        <v>0</v>
      </c>
      <c r="F76" s="26" t="n">
        <v>595576</v>
      </c>
      <c r="G76" s="26" t="n">
        <v>74424</v>
      </c>
      <c r="H76" s="26" t="n">
        <v>0</v>
      </c>
      <c r="I76" s="26" t="n">
        <v>0</v>
      </c>
      <c r="J76" s="26" t="n">
        <v>20000</v>
      </c>
      <c r="K76" s="17">
        <f>SUM(B76:J76)</f>
        <v>690000</v>
      </c>
    </row>
    <row r="77">
      <c r="A77" t="inlineStr">
        <is>
          <t>FY2032</t>
        </is>
      </c>
      <c r="B77" s="26" t="n">
        <v>0</v>
      </c>
      <c r="C77" s="26" t="n">
        <v>0</v>
      </c>
      <c r="D77" s="26" t="n">
        <v>0</v>
      </c>
      <c r="E77" s="26" t="n">
        <v>0</v>
      </c>
      <c r="F77" s="26" t="n">
        <v>408528</v>
      </c>
      <c r="G77" s="26" t="n">
        <v>71472</v>
      </c>
      <c r="H77" s="26" t="n">
        <v>0</v>
      </c>
      <c r="I77" s="26" t="n">
        <v>0</v>
      </c>
      <c r="J77" s="26" t="n">
        <v>20000</v>
      </c>
      <c r="K77" s="17">
        <f>SUM(B77:J77)</f>
        <v>500000</v>
      </c>
    </row>
    <row r="78">
      <c r="A78" t="inlineStr">
        <is>
          <t>FY2033</t>
        </is>
      </c>
      <c r="B78" s="26" t="n">
        <v>0</v>
      </c>
      <c r="C78" s="26" t="n">
        <v>0</v>
      </c>
      <c r="D78" s="26" t="n">
        <v>0</v>
      </c>
      <c r="E78" s="26" t="n">
        <v>0</v>
      </c>
      <c r="F78" s="26" t="n">
        <v>406941</v>
      </c>
      <c r="G78" s="26" t="n">
        <v>73059</v>
      </c>
      <c r="H78" s="26" t="n">
        <v>0</v>
      </c>
      <c r="I78" s="26" t="n">
        <v>0</v>
      </c>
      <c r="J78" s="26" t="n">
        <v>20000</v>
      </c>
      <c r="K78" s="17">
        <f>SUM(B78:J78)</f>
        <v>500000</v>
      </c>
    </row>
    <row r="79">
      <c r="A79" t="inlineStr">
        <is>
          <t>FY2034</t>
        </is>
      </c>
      <c r="B79" s="26" t="n">
        <v>0</v>
      </c>
      <c r="C79" s="26" t="n">
        <v>0</v>
      </c>
      <c r="D79" s="26" t="n">
        <v>1751</v>
      </c>
      <c r="E79" s="26" t="n">
        <v>0</v>
      </c>
      <c r="F79" s="26" t="n">
        <v>399510</v>
      </c>
      <c r="G79" s="26" t="n">
        <v>78740</v>
      </c>
      <c r="H79" s="26" t="n">
        <v>0</v>
      </c>
      <c r="I79" s="26" t="n">
        <v>0</v>
      </c>
      <c r="J79" s="26" t="n">
        <v>19999</v>
      </c>
      <c r="K79" s="17">
        <f>SUM(B79:J79)</f>
        <v>500000</v>
      </c>
    </row>
    <row r="80">
      <c r="A80" t="inlineStr">
        <is>
          <t>FY2035</t>
        </is>
      </c>
      <c r="B80" s="26" t="n">
        <v>0</v>
      </c>
      <c r="C80" s="26" t="n">
        <v>0</v>
      </c>
      <c r="D80" s="26" t="n">
        <v>3189</v>
      </c>
      <c r="E80" s="26" t="n">
        <v>0</v>
      </c>
      <c r="F80" s="26" t="n">
        <v>402387</v>
      </c>
      <c r="G80" s="26" t="n">
        <v>74424</v>
      </c>
      <c r="H80" s="26" t="n">
        <v>0</v>
      </c>
      <c r="I80" s="26" t="n">
        <v>0</v>
      </c>
      <c r="J80" s="26" t="n">
        <v>20000</v>
      </c>
      <c r="K80" s="17">
        <f>SUM(B80:J80)</f>
        <v>500000</v>
      </c>
    </row>
    <row r="81">
      <c r="A81" t="inlineStr">
        <is>
          <t>FY2036</t>
        </is>
      </c>
      <c r="B81" s="26" t="n">
        <v>0</v>
      </c>
      <c r="C81" s="26" t="n">
        <v>0</v>
      </c>
      <c r="D81" s="26" t="n">
        <v>12861</v>
      </c>
      <c r="E81" s="26" t="n">
        <v>0</v>
      </c>
      <c r="F81" s="26" t="n">
        <v>392715</v>
      </c>
      <c r="G81" s="26" t="n">
        <v>74424</v>
      </c>
      <c r="H81" s="26" t="n">
        <v>0</v>
      </c>
      <c r="I81" s="26" t="n">
        <v>0</v>
      </c>
      <c r="J81" s="26" t="n">
        <v>20000</v>
      </c>
      <c r="K81" s="17">
        <f>SUM(B81:J81)</f>
        <v>500000</v>
      </c>
    </row>
    <row r="82">
      <c r="A82" t="inlineStr">
        <is>
          <t>FY2037</t>
        </is>
      </c>
      <c r="B82" s="26" t="n">
        <v>0</v>
      </c>
      <c r="C82" s="26" t="n">
        <v>0</v>
      </c>
      <c r="D82" s="26" t="n">
        <v>12000</v>
      </c>
      <c r="E82" s="26" t="n">
        <v>0</v>
      </c>
      <c r="F82" s="26" t="n">
        <v>324985</v>
      </c>
      <c r="G82" s="26" t="n">
        <v>143015</v>
      </c>
      <c r="H82" s="26" t="n">
        <v>0</v>
      </c>
      <c r="I82" s="26" t="n">
        <v>0</v>
      </c>
      <c r="J82" s="26" t="n">
        <v>20000</v>
      </c>
      <c r="K82" s="17">
        <f>SUM(B82:J82)</f>
        <v>500000</v>
      </c>
    </row>
    <row r="83">
      <c r="A83" t="inlineStr">
        <is>
          <t>FY2038</t>
        </is>
      </c>
      <c r="B83" s="26" t="n">
        <v>0</v>
      </c>
      <c r="C83" s="26" t="n">
        <v>0</v>
      </c>
      <c r="D83" s="26" t="n">
        <v>0</v>
      </c>
      <c r="E83" s="26" t="n">
        <v>0</v>
      </c>
      <c r="F83" s="26" t="n">
        <v>384646</v>
      </c>
      <c r="G83" s="26" t="n">
        <v>95354</v>
      </c>
      <c r="H83" s="26" t="n">
        <v>0</v>
      </c>
      <c r="I83" s="26" t="n">
        <v>0</v>
      </c>
      <c r="J83" s="26" t="n">
        <v>20000</v>
      </c>
      <c r="K83" s="17">
        <f>SUM(B83:J83)</f>
        <v>500000</v>
      </c>
    </row>
    <row r="84">
      <c r="A84" t="inlineStr">
        <is>
          <t>FY2039</t>
        </is>
      </c>
      <c r="B84" s="26" t="n">
        <v>0</v>
      </c>
      <c r="C84" s="26" t="n">
        <v>0</v>
      </c>
      <c r="D84" s="26" t="n">
        <v>0</v>
      </c>
      <c r="E84" s="26" t="n">
        <v>0</v>
      </c>
      <c r="F84" s="26" t="n">
        <v>331427</v>
      </c>
      <c r="G84" s="26" t="n">
        <v>148573</v>
      </c>
      <c r="H84" s="26" t="n">
        <v>0</v>
      </c>
      <c r="I84" s="26" t="n">
        <v>0</v>
      </c>
      <c r="J84" s="26" t="n">
        <v>20000</v>
      </c>
      <c r="K84" s="17">
        <f>SUM(B84:J84)</f>
        <v>500000</v>
      </c>
    </row>
    <row r="85">
      <c r="A85" t="inlineStr">
        <is>
          <t>FY2040</t>
        </is>
      </c>
      <c r="B85" s="26" t="n">
        <v>0</v>
      </c>
      <c r="C85" s="26" t="n">
        <v>0</v>
      </c>
      <c r="D85" s="26" t="n">
        <v>11371</v>
      </c>
      <c r="E85" s="26" t="n">
        <v>0</v>
      </c>
      <c r="F85" s="26" t="n">
        <v>437775</v>
      </c>
      <c r="G85" s="26" t="n">
        <v>30854</v>
      </c>
      <c r="H85" s="26" t="n">
        <v>0</v>
      </c>
      <c r="I85" s="26" t="n">
        <v>0</v>
      </c>
      <c r="J85" s="26" t="n">
        <v>35000</v>
      </c>
      <c r="K85" s="17">
        <f>SUM(B85:J85)</f>
        <v>515000</v>
      </c>
    </row>
    <row r="86">
      <c r="A86" t="inlineStr">
        <is>
          <t>FY2041</t>
        </is>
      </c>
      <c r="B86" s="26" t="n">
        <v>0</v>
      </c>
      <c r="C86" s="26" t="n">
        <v>0</v>
      </c>
      <c r="D86" s="26" t="n">
        <v>71239</v>
      </c>
      <c r="E86" s="26" t="n">
        <v>0</v>
      </c>
      <c r="F86" s="26" t="n">
        <v>378761</v>
      </c>
      <c r="G86" s="26" t="n">
        <v>30000</v>
      </c>
      <c r="H86" s="26" t="n">
        <v>0</v>
      </c>
      <c r="I86" s="26" t="n">
        <v>0</v>
      </c>
      <c r="J86" s="26" t="n">
        <v>20000</v>
      </c>
      <c r="K86" s="17">
        <f>SUM(B86:J86)</f>
        <v>500000</v>
      </c>
    </row>
    <row r="87">
      <c r="A87" t="inlineStr">
        <is>
          <t>FY2042</t>
        </is>
      </c>
      <c r="B87" s="26" t="n">
        <v>0</v>
      </c>
      <c r="C87" s="26" t="n">
        <v>0</v>
      </c>
      <c r="D87" s="26" t="n">
        <v>0</v>
      </c>
      <c r="E87" s="26" t="n">
        <v>0</v>
      </c>
      <c r="F87" s="26" t="n">
        <v>450000</v>
      </c>
      <c r="G87" s="26" t="n">
        <v>30000</v>
      </c>
      <c r="H87" s="26" t="n">
        <v>0</v>
      </c>
      <c r="I87" s="26" t="n">
        <v>0</v>
      </c>
      <c r="J87" s="26" t="n">
        <v>20000</v>
      </c>
      <c r="K87" s="17">
        <f>SUM(B87:J87)</f>
        <v>500000</v>
      </c>
    </row>
    <row r="88">
      <c r="A88" s="16" t="inlineStr">
        <is>
          <t>Total</t>
        </is>
      </c>
      <c r="K88" s="17">
        <f>SUM(K73:K87)</f>
        <v>7375944</v>
      </c>
    </row>
    <row r="89">
      <c r="A89" s="14" t="inlineStr">
        <is>
          <t>Other flows</t>
        </is>
      </c>
      <c r="B89" s="14" t="inlineStr">
        <is>
          <t>Bridge</t>
        </is>
      </c>
      <c r="C89" s="14" t="inlineStr">
        <is>
          <t>Garage</t>
        </is>
      </c>
      <c r="D89" s="14" t="inlineStr">
        <is>
          <t>Town Hall</t>
        </is>
      </c>
      <c r="E89" s="14" t="inlineStr">
        <is>
          <t>Courts</t>
        </is>
      </c>
      <c r="F89" s="14" t="inlineStr">
        <is>
          <t>A&amp;E</t>
        </is>
      </c>
      <c r="G89" s="14" t="inlineStr">
        <is>
          <t>Paving</t>
        </is>
      </c>
      <c r="H89" s="14" t="inlineStr">
        <is>
          <t>Proceeds</t>
        </is>
      </c>
      <c r="I89" s="14" t="inlineStr">
        <is>
          <t>Cap Reserve</t>
        </is>
      </c>
      <c r="J89" s="14" t="inlineStr"/>
      <c r="K89" s="14" t="inlineStr"/>
    </row>
    <row r="90">
      <c r="A90" t="inlineStr">
        <is>
          <t>FY2028</t>
        </is>
      </c>
      <c r="B90" s="26" t="n">
        <v>357</v>
      </c>
      <c r="C90" s="26" t="n">
        <v>-10750</v>
      </c>
      <c r="D90" s="26" t="n">
        <v>656</v>
      </c>
      <c r="E90" s="26" t="n">
        <v>129</v>
      </c>
      <c r="F90" s="26" t="n">
        <v>-297450</v>
      </c>
      <c r="G90" s="26" t="n">
        <v>-90119</v>
      </c>
      <c r="H90" s="26" t="n">
        <v>802891</v>
      </c>
      <c r="I90" s="26" t="n">
        <v>0</v>
      </c>
    </row>
    <row r="91">
      <c r="A91" t="inlineStr">
        <is>
          <t>FY2029</t>
        </is>
      </c>
      <c r="B91" s="26" t="n">
        <v>359</v>
      </c>
      <c r="C91" s="26" t="n">
        <v>174</v>
      </c>
      <c r="D91" s="26" t="n">
        <v>-19339</v>
      </c>
      <c r="E91" s="26" t="n">
        <v>130</v>
      </c>
      <c r="F91" s="26" t="n">
        <v>-282449</v>
      </c>
      <c r="G91" s="26" t="n">
        <v>-74424</v>
      </c>
      <c r="H91" s="26" t="n">
        <v>5620</v>
      </c>
      <c r="I91" s="26" t="n">
        <v>0</v>
      </c>
    </row>
    <row r="92">
      <c r="A92" t="inlineStr">
        <is>
          <t>FY2030</t>
        </is>
      </c>
      <c r="B92" s="26" t="n">
        <v>362</v>
      </c>
      <c r="C92" s="26" t="n">
        <v>175</v>
      </c>
      <c r="D92" s="26" t="n">
        <v>-24475</v>
      </c>
      <c r="E92" s="26" t="n">
        <v>132</v>
      </c>
      <c r="F92" s="26" t="n">
        <v>-423900</v>
      </c>
      <c r="G92" s="26" t="n">
        <v>-74424</v>
      </c>
      <c r="H92" s="26" t="n">
        <v>-797231</v>
      </c>
      <c r="I92" s="26" t="n">
        <v>0</v>
      </c>
    </row>
    <row r="93">
      <c r="A93" t="inlineStr">
        <is>
          <t>FY2031</t>
        </is>
      </c>
      <c r="B93" s="26" t="n">
        <v>365</v>
      </c>
      <c r="C93" s="26" t="n">
        <v>177</v>
      </c>
      <c r="D93" s="26" t="n">
        <v>-19646</v>
      </c>
      <c r="E93" s="26" t="n">
        <v>132</v>
      </c>
      <c r="F93" s="26" t="n">
        <v>-595576</v>
      </c>
      <c r="G93" s="26" t="n">
        <v>-74424</v>
      </c>
      <c r="H93" s="26" t="n">
        <v>79</v>
      </c>
      <c r="I93" s="26" t="n">
        <v>0</v>
      </c>
    </row>
    <row r="94">
      <c r="A94" t="inlineStr">
        <is>
          <t>FY2032</t>
        </is>
      </c>
      <c r="B94" s="26" t="n">
        <v>367</v>
      </c>
      <c r="C94" s="26" t="n">
        <v>178</v>
      </c>
      <c r="D94" s="26" t="n">
        <v>-28783</v>
      </c>
      <c r="E94" s="26" t="n">
        <v>132</v>
      </c>
      <c r="F94" s="26" t="n">
        <v>-408528</v>
      </c>
      <c r="G94" s="26" t="n">
        <v>-74423</v>
      </c>
      <c r="H94" s="26" t="n">
        <v>79</v>
      </c>
      <c r="I94" s="26" t="n">
        <v>0</v>
      </c>
    </row>
    <row r="95">
      <c r="A95" t="inlineStr">
        <is>
          <t>FY2033</t>
        </is>
      </c>
      <c r="B95" s="26" t="n">
        <v>369</v>
      </c>
      <c r="C95" s="26" t="n">
        <v>-8321</v>
      </c>
      <c r="D95" s="26" t="n">
        <v>15</v>
      </c>
      <c r="E95" s="26" t="n">
        <v>134</v>
      </c>
      <c r="F95" s="26" t="n">
        <v>-406941</v>
      </c>
      <c r="G95" s="26" t="n">
        <v>-74424</v>
      </c>
      <c r="H95" s="26" t="n">
        <v>80</v>
      </c>
      <c r="I95" s="26" t="n">
        <v>0</v>
      </c>
    </row>
    <row r="96">
      <c r="A96" t="inlineStr">
        <is>
          <t>FY2034</t>
        </is>
      </c>
      <c r="B96" s="26" t="n">
        <v>372</v>
      </c>
      <c r="C96" s="26" t="n">
        <v>121</v>
      </c>
      <c r="D96" s="26" t="n">
        <v>14</v>
      </c>
      <c r="E96" s="26" t="n">
        <v>135</v>
      </c>
      <c r="F96" s="26" t="n">
        <v>-335659</v>
      </c>
      <c r="G96" s="26" t="n">
        <v>-74424</v>
      </c>
      <c r="H96" s="26" t="n">
        <v>81</v>
      </c>
      <c r="I96" s="26" t="n">
        <v>0</v>
      </c>
    </row>
    <row r="97">
      <c r="A97" t="inlineStr">
        <is>
          <t>FY2035</t>
        </is>
      </c>
      <c r="B97" s="26" t="n">
        <v>375</v>
      </c>
      <c r="C97" s="26" t="n">
        <v>122</v>
      </c>
      <c r="D97" s="26" t="n">
        <v>-19972</v>
      </c>
      <c r="E97" s="26" t="n">
        <v>136</v>
      </c>
      <c r="F97" s="26" t="n">
        <v>-466238</v>
      </c>
      <c r="G97" s="26" t="n">
        <v>-74424</v>
      </c>
      <c r="H97" s="26" t="n">
        <v>81</v>
      </c>
      <c r="I97" s="26" t="n">
        <v>0</v>
      </c>
    </row>
    <row r="98">
      <c r="A98" t="inlineStr">
        <is>
          <t>FY2036</t>
        </is>
      </c>
      <c r="B98" s="26" t="n">
        <v>378</v>
      </c>
      <c r="C98" s="26" t="n">
        <v>123</v>
      </c>
      <c r="D98" s="26" t="n">
        <v>0</v>
      </c>
      <c r="E98" s="26" t="n">
        <v>136</v>
      </c>
      <c r="F98" s="26" t="n">
        <v>-392715</v>
      </c>
      <c r="G98" s="26" t="n">
        <v>-74424</v>
      </c>
      <c r="H98" s="26" t="n">
        <v>82</v>
      </c>
      <c r="I98" s="26" t="n">
        <v>0</v>
      </c>
    </row>
    <row r="99">
      <c r="A99" t="inlineStr">
        <is>
          <t>FY2037</t>
        </is>
      </c>
      <c r="B99" s="26" t="n">
        <v>380</v>
      </c>
      <c r="C99" s="26" t="n">
        <v>124</v>
      </c>
      <c r="D99" s="26" t="n">
        <v>-12000</v>
      </c>
      <c r="E99" s="26" t="n">
        <v>138</v>
      </c>
      <c r="F99" s="26" t="n">
        <v>-324985</v>
      </c>
      <c r="G99" s="26" t="n">
        <v>-74423</v>
      </c>
      <c r="H99" s="26" t="n">
        <v>82</v>
      </c>
      <c r="I99" s="26" t="n">
        <v>0</v>
      </c>
    </row>
    <row r="100">
      <c r="A100" t="inlineStr">
        <is>
          <t>FY2038</t>
        </is>
      </c>
      <c r="B100" s="26" t="n">
        <v>382</v>
      </c>
      <c r="C100" s="26" t="n">
        <v>124</v>
      </c>
      <c r="D100" s="26" t="n">
        <v>0</v>
      </c>
      <c r="E100" s="26" t="n">
        <v>139</v>
      </c>
      <c r="F100" s="26" t="n">
        <v>-384646</v>
      </c>
      <c r="G100" s="26" t="n">
        <v>-73944</v>
      </c>
      <c r="H100" s="26" t="n">
        <v>83</v>
      </c>
      <c r="I100" s="26" t="n">
        <v>0</v>
      </c>
    </row>
    <row r="101">
      <c r="A101" t="inlineStr">
        <is>
          <t>FY2039</t>
        </is>
      </c>
      <c r="B101" s="26" t="n">
        <v>386</v>
      </c>
      <c r="C101" s="26" t="n">
        <v>125</v>
      </c>
      <c r="D101" s="26" t="n">
        <v>0</v>
      </c>
      <c r="E101" s="26" t="n">
        <v>139</v>
      </c>
      <c r="F101" s="26" t="n">
        <v>-331427</v>
      </c>
      <c r="G101" s="26" t="n">
        <v>-195308</v>
      </c>
      <c r="H101" s="26" t="n">
        <v>84</v>
      </c>
      <c r="I101" s="26" t="n">
        <v>0</v>
      </c>
    </row>
    <row r="102">
      <c r="A102" t="inlineStr">
        <is>
          <t>FY2040</t>
        </is>
      </c>
      <c r="B102" s="26" t="n">
        <v>388</v>
      </c>
      <c r="C102" s="26" t="n">
        <v>126</v>
      </c>
      <c r="D102" s="26" t="n">
        <v>0</v>
      </c>
      <c r="E102" s="26" t="n">
        <v>141</v>
      </c>
      <c r="F102" s="26" t="n">
        <v>-437775</v>
      </c>
      <c r="G102" s="26" t="n">
        <v>-74121</v>
      </c>
      <c r="H102" s="26" t="n">
        <v>84</v>
      </c>
      <c r="I102" s="26" t="n">
        <v>0</v>
      </c>
    </row>
    <row r="103">
      <c r="A103" t="inlineStr">
        <is>
          <t>FY2041</t>
        </is>
      </c>
      <c r="B103" s="26" t="n">
        <v>391</v>
      </c>
      <c r="C103" s="26" t="n">
        <v>127</v>
      </c>
      <c r="D103" s="26" t="n">
        <v>79</v>
      </c>
      <c r="E103" s="26" t="n">
        <v>141</v>
      </c>
      <c r="F103" s="26" t="n">
        <v>-215435</v>
      </c>
      <c r="G103" s="26" t="n">
        <v>-30000</v>
      </c>
      <c r="H103" s="26" t="n">
        <v>84</v>
      </c>
      <c r="I103" s="26" t="n">
        <v>0</v>
      </c>
    </row>
    <row r="104">
      <c r="A104" t="inlineStr">
        <is>
          <t>FY2042</t>
        </is>
      </c>
      <c r="B104" s="26" t="n">
        <v>393</v>
      </c>
      <c r="C104" s="26" t="n">
        <v>128</v>
      </c>
      <c r="D104" s="26" t="n">
        <v>-24421</v>
      </c>
      <c r="E104" s="26" t="n">
        <v>143</v>
      </c>
      <c r="F104" s="26" t="n">
        <v>-420133</v>
      </c>
      <c r="G104" s="26" t="n">
        <v>-30000</v>
      </c>
      <c r="H104" s="26" t="n">
        <v>86</v>
      </c>
      <c r="I104" s="26" t="n">
        <v>0</v>
      </c>
    </row>
    <row r="106" ht="40" customHeight="1">
      <c r="A106" s="4" t="inlineStr">
        <is>
          <t>Break even by 2042 ($500k/yr)</t>
        </is>
      </c>
      <c r="B106" s="33" t="inlineStr">
        <is>
          <t>Floor-then-steer inside the single budget line: each fund first receives its current-year small purchases and its note payments; the remainder is steered to funds with needs inside three years; any excess to Asset &amp; Equipment. Bridge and Courts receive nothing — no scheduled work.</t>
        </is>
      </c>
    </row>
    <row r="107">
      <c r="A107" s="14" t="inlineStr">
        <is>
          <t>Deposits</t>
        </is>
      </c>
      <c r="B107" s="14" t="inlineStr">
        <is>
          <t>Bridge</t>
        </is>
      </c>
      <c r="C107" s="14" t="inlineStr">
        <is>
          <t>Garage</t>
        </is>
      </c>
      <c r="D107" s="14" t="inlineStr">
        <is>
          <t>Town Hall</t>
        </is>
      </c>
      <c r="E107" s="14" t="inlineStr">
        <is>
          <t>Courts</t>
        </is>
      </c>
      <c r="F107" s="14" t="inlineStr">
        <is>
          <t>A&amp;E</t>
        </is>
      </c>
      <c r="G107" s="14" t="inlineStr">
        <is>
          <t>Paving</t>
        </is>
      </c>
      <c r="H107" s="14" t="inlineStr">
        <is>
          <t>Proceeds</t>
        </is>
      </c>
      <c r="I107" s="14" t="inlineStr">
        <is>
          <t>Cap Reserve</t>
        </is>
      </c>
      <c r="J107" s="14" t="inlineStr">
        <is>
          <t>Direct spend (no fund)</t>
        </is>
      </c>
      <c r="K107" s="14" t="inlineStr">
        <is>
          <t>Total uses</t>
        </is>
      </c>
    </row>
    <row r="108">
      <c r="A108" t="inlineStr">
        <is>
          <t>FY2028</t>
        </is>
      </c>
      <c r="B108" s="26" t="n">
        <v>0</v>
      </c>
      <c r="C108" s="26" t="n">
        <v>0</v>
      </c>
      <c r="D108" s="26" t="n">
        <v>0</v>
      </c>
      <c r="E108" s="26" t="n">
        <v>0</v>
      </c>
      <c r="F108" s="26" t="n">
        <v>346561</v>
      </c>
      <c r="G108" s="26" t="n">
        <v>88411</v>
      </c>
      <c r="H108" s="26" t="n">
        <v>0</v>
      </c>
      <c r="I108" s="26" t="n">
        <v>0</v>
      </c>
      <c r="J108" s="26" t="n">
        <v>20000</v>
      </c>
      <c r="K108" s="17">
        <f>SUM(B108:J108)</f>
        <v>454972</v>
      </c>
    </row>
    <row r="109">
      <c r="A109" t="inlineStr">
        <is>
          <t>FY2029</t>
        </is>
      </c>
      <c r="B109" s="26" t="n">
        <v>0</v>
      </c>
      <c r="C109" s="26" t="n">
        <v>0</v>
      </c>
      <c r="D109" s="26" t="n">
        <v>0</v>
      </c>
      <c r="E109" s="26" t="n">
        <v>0</v>
      </c>
      <c r="F109" s="26" t="n">
        <v>366556</v>
      </c>
      <c r="G109" s="26" t="n">
        <v>70092</v>
      </c>
      <c r="H109" s="26" t="n">
        <v>0</v>
      </c>
      <c r="I109" s="26" t="n">
        <v>0</v>
      </c>
      <c r="J109" s="26" t="n">
        <v>31000</v>
      </c>
      <c r="K109" s="17">
        <f>SUM(B109:J109)</f>
        <v>467648</v>
      </c>
    </row>
    <row r="110">
      <c r="A110" t="inlineStr">
        <is>
          <t>FY2030</t>
        </is>
      </c>
      <c r="B110" s="26" t="n">
        <v>0</v>
      </c>
      <c r="C110" s="26" t="n">
        <v>0</v>
      </c>
      <c r="D110" s="26" t="n">
        <v>0</v>
      </c>
      <c r="E110" s="26" t="n">
        <v>0</v>
      </c>
      <c r="F110" s="26" t="n">
        <v>368232</v>
      </c>
      <c r="G110" s="26" t="n">
        <v>70092</v>
      </c>
      <c r="H110" s="26" t="n">
        <v>0</v>
      </c>
      <c r="I110" s="26" t="n">
        <v>0</v>
      </c>
      <c r="J110" s="26" t="n">
        <v>20000</v>
      </c>
      <c r="K110" s="17">
        <f>SUM(B110:J110)</f>
        <v>458324</v>
      </c>
    </row>
    <row r="111">
      <c r="A111" t="inlineStr">
        <is>
          <t>FY2031</t>
        </is>
      </c>
      <c r="B111" s="26" t="n">
        <v>0</v>
      </c>
      <c r="C111" s="26" t="n">
        <v>0</v>
      </c>
      <c r="D111" s="26" t="n">
        <v>0</v>
      </c>
      <c r="E111" s="26" t="n">
        <v>0</v>
      </c>
      <c r="F111" s="26" t="n">
        <v>409908</v>
      </c>
      <c r="G111" s="26" t="n">
        <v>70092</v>
      </c>
      <c r="H111" s="26" t="n">
        <v>0</v>
      </c>
      <c r="I111" s="26" t="n">
        <v>0</v>
      </c>
      <c r="J111" s="26" t="n">
        <v>20000</v>
      </c>
      <c r="K111" s="17">
        <f>SUM(B111:J111)</f>
        <v>500000</v>
      </c>
    </row>
    <row r="112">
      <c r="A112" t="inlineStr">
        <is>
          <t>FY2032</t>
        </is>
      </c>
      <c r="B112" s="26" t="n">
        <v>0</v>
      </c>
      <c r="C112" s="26" t="n">
        <v>0</v>
      </c>
      <c r="D112" s="26" t="n">
        <v>0</v>
      </c>
      <c r="E112" s="26" t="n">
        <v>0</v>
      </c>
      <c r="F112" s="26" t="n">
        <v>409908</v>
      </c>
      <c r="G112" s="26" t="n">
        <v>70092</v>
      </c>
      <c r="H112" s="26" t="n">
        <v>0</v>
      </c>
      <c r="I112" s="26" t="n">
        <v>0</v>
      </c>
      <c r="J112" s="26" t="n">
        <v>20000</v>
      </c>
      <c r="K112" s="17">
        <f>SUM(B112:J112)</f>
        <v>500000</v>
      </c>
    </row>
    <row r="113">
      <c r="A113" t="inlineStr">
        <is>
          <t>FY2033</t>
        </is>
      </c>
      <c r="B113" s="26" t="n">
        <v>0</v>
      </c>
      <c r="C113" s="26" t="n">
        <v>0</v>
      </c>
      <c r="D113" s="26" t="n">
        <v>5121</v>
      </c>
      <c r="E113" s="26" t="n">
        <v>0</v>
      </c>
      <c r="F113" s="26" t="n">
        <v>404787</v>
      </c>
      <c r="G113" s="26" t="n">
        <v>70092</v>
      </c>
      <c r="H113" s="26" t="n">
        <v>0</v>
      </c>
      <c r="I113" s="26" t="n">
        <v>0</v>
      </c>
      <c r="J113" s="26" t="n">
        <v>20000</v>
      </c>
      <c r="K113" s="17">
        <f>SUM(B113:J113)</f>
        <v>500000</v>
      </c>
    </row>
    <row r="114">
      <c r="A114" t="inlineStr">
        <is>
          <t>FY2034</t>
        </is>
      </c>
      <c r="B114" s="26" t="n">
        <v>0</v>
      </c>
      <c r="C114" s="26" t="n">
        <v>0</v>
      </c>
      <c r="D114" s="26" t="n">
        <v>3478</v>
      </c>
      <c r="E114" s="26" t="n">
        <v>0</v>
      </c>
      <c r="F114" s="26" t="n">
        <v>406430</v>
      </c>
      <c r="G114" s="26" t="n">
        <v>70092</v>
      </c>
      <c r="H114" s="26" t="n">
        <v>0</v>
      </c>
      <c r="I114" s="26" t="n">
        <v>0</v>
      </c>
      <c r="J114" s="26" t="n">
        <v>20000</v>
      </c>
      <c r="K114" s="17">
        <f>SUM(B114:J114)</f>
        <v>500000</v>
      </c>
    </row>
    <row r="115">
      <c r="A115" t="inlineStr">
        <is>
          <t>FY2035</t>
        </is>
      </c>
      <c r="B115" s="26" t="n">
        <v>0</v>
      </c>
      <c r="C115" s="26" t="n">
        <v>0</v>
      </c>
      <c r="D115" s="26" t="n">
        <v>2880</v>
      </c>
      <c r="E115" s="26" t="n">
        <v>0</v>
      </c>
      <c r="F115" s="26" t="n">
        <v>407028</v>
      </c>
      <c r="G115" s="26" t="n">
        <v>70092</v>
      </c>
      <c r="H115" s="26" t="n">
        <v>0</v>
      </c>
      <c r="I115" s="26" t="n">
        <v>0</v>
      </c>
      <c r="J115" s="26" t="n">
        <v>20000</v>
      </c>
      <c r="K115" s="17">
        <f>SUM(B115:J115)</f>
        <v>500000</v>
      </c>
    </row>
    <row r="116">
      <c r="A116" t="inlineStr">
        <is>
          <t>FY2036</t>
        </is>
      </c>
      <c r="B116" s="26" t="n">
        <v>0</v>
      </c>
      <c r="C116" s="26" t="n">
        <v>0</v>
      </c>
      <c r="D116" s="26" t="n">
        <v>6238</v>
      </c>
      <c r="E116" s="26" t="n">
        <v>0</v>
      </c>
      <c r="F116" s="26" t="n">
        <v>403670</v>
      </c>
      <c r="G116" s="26" t="n">
        <v>70092</v>
      </c>
      <c r="H116" s="26" t="n">
        <v>0</v>
      </c>
      <c r="I116" s="26" t="n">
        <v>0</v>
      </c>
      <c r="J116" s="26" t="n">
        <v>20000</v>
      </c>
      <c r="K116" s="17">
        <f>SUM(B116:J116)</f>
        <v>500000</v>
      </c>
    </row>
    <row r="117">
      <c r="A117" t="inlineStr">
        <is>
          <t>FY2037</t>
        </is>
      </c>
      <c r="B117" s="26" t="n">
        <v>0</v>
      </c>
      <c r="C117" s="26" t="n">
        <v>0</v>
      </c>
      <c r="D117" s="26" t="n">
        <v>12000</v>
      </c>
      <c r="E117" s="26" t="n">
        <v>0</v>
      </c>
      <c r="F117" s="26" t="n">
        <v>331687</v>
      </c>
      <c r="G117" s="26" t="n">
        <v>136313</v>
      </c>
      <c r="H117" s="26" t="n">
        <v>0</v>
      </c>
      <c r="I117" s="26" t="n">
        <v>0</v>
      </c>
      <c r="J117" s="26" t="n">
        <v>20000</v>
      </c>
      <c r="K117" s="17">
        <f>SUM(B117:J117)</f>
        <v>500000</v>
      </c>
    </row>
    <row r="118">
      <c r="A118" t="inlineStr">
        <is>
          <t>FY2038</t>
        </is>
      </c>
      <c r="B118" s="26" t="n">
        <v>0</v>
      </c>
      <c r="C118" s="26" t="n">
        <v>0</v>
      </c>
      <c r="D118" s="26" t="n">
        <v>0</v>
      </c>
      <c r="E118" s="26" t="n">
        <v>0</v>
      </c>
      <c r="F118" s="26" t="n">
        <v>390359</v>
      </c>
      <c r="G118" s="26" t="n">
        <v>89641</v>
      </c>
      <c r="H118" s="26" t="n">
        <v>0</v>
      </c>
      <c r="I118" s="26" t="n">
        <v>0</v>
      </c>
      <c r="J118" s="26" t="n">
        <v>20000</v>
      </c>
      <c r="K118" s="17">
        <f>SUM(B118:J118)</f>
        <v>500000</v>
      </c>
    </row>
    <row r="119">
      <c r="A119" t="inlineStr">
        <is>
          <t>FY2039</t>
        </is>
      </c>
      <c r="B119" s="26" t="n">
        <v>0</v>
      </c>
      <c r="C119" s="26" t="n">
        <v>0</v>
      </c>
      <c r="D119" s="26" t="n">
        <v>0</v>
      </c>
      <c r="E119" s="26" t="n">
        <v>0</v>
      </c>
      <c r="F119" s="26" t="n">
        <v>350650</v>
      </c>
      <c r="G119" s="26" t="n">
        <v>129350</v>
      </c>
      <c r="H119" s="26" t="n">
        <v>0</v>
      </c>
      <c r="I119" s="26" t="n">
        <v>0</v>
      </c>
      <c r="J119" s="26" t="n">
        <v>20000</v>
      </c>
      <c r="K119" s="17">
        <f>SUM(B119:J119)</f>
        <v>500000</v>
      </c>
    </row>
    <row r="120">
      <c r="A120" t="inlineStr">
        <is>
          <t>FY2040</t>
        </is>
      </c>
      <c r="B120" s="26" t="n">
        <v>0</v>
      </c>
      <c r="C120" s="26" t="n">
        <v>0</v>
      </c>
      <c r="D120" s="26" t="n">
        <v>8766</v>
      </c>
      <c r="E120" s="26" t="n">
        <v>0</v>
      </c>
      <c r="F120" s="26" t="n">
        <v>425895</v>
      </c>
      <c r="G120" s="26" t="n">
        <v>45339</v>
      </c>
      <c r="H120" s="26" t="n">
        <v>0</v>
      </c>
      <c r="I120" s="26" t="n">
        <v>0</v>
      </c>
      <c r="J120" s="26" t="n">
        <v>35000</v>
      </c>
      <c r="K120" s="17">
        <f>SUM(B120:J120)</f>
        <v>515000</v>
      </c>
    </row>
    <row r="121">
      <c r="A121" t="inlineStr">
        <is>
          <t>FY2041</t>
        </is>
      </c>
      <c r="B121" s="26" t="n">
        <v>0</v>
      </c>
      <c r="C121" s="26" t="n">
        <v>0</v>
      </c>
      <c r="D121" s="26" t="n">
        <v>74715</v>
      </c>
      <c r="E121" s="26" t="n">
        <v>0</v>
      </c>
      <c r="F121" s="26" t="n">
        <v>375285</v>
      </c>
      <c r="G121" s="26" t="n">
        <v>30000</v>
      </c>
      <c r="H121" s="26" t="n">
        <v>0</v>
      </c>
      <c r="I121" s="26" t="n">
        <v>0</v>
      </c>
      <c r="J121" s="26" t="n">
        <v>20000</v>
      </c>
      <c r="K121" s="17">
        <f>SUM(B121:J121)</f>
        <v>500000</v>
      </c>
    </row>
    <row r="122">
      <c r="A122" t="inlineStr">
        <is>
          <t>FY2042</t>
        </is>
      </c>
      <c r="B122" s="26" t="n">
        <v>0</v>
      </c>
      <c r="C122" s="26" t="n">
        <v>0</v>
      </c>
      <c r="D122" s="26" t="n">
        <v>0</v>
      </c>
      <c r="E122" s="26" t="n">
        <v>0</v>
      </c>
      <c r="F122" s="26" t="n">
        <v>450000</v>
      </c>
      <c r="G122" s="26" t="n">
        <v>30000</v>
      </c>
      <c r="H122" s="26" t="n">
        <v>0</v>
      </c>
      <c r="I122" s="26" t="n">
        <v>0</v>
      </c>
      <c r="J122" s="26" t="n">
        <v>20000</v>
      </c>
      <c r="K122" s="17">
        <f>SUM(B122:J122)</f>
        <v>500000</v>
      </c>
    </row>
    <row r="123">
      <c r="A123" s="16" t="inlineStr">
        <is>
          <t>Total</t>
        </is>
      </c>
      <c r="K123" s="17">
        <f>SUM(K108:K122)</f>
        <v>7395944</v>
      </c>
    </row>
    <row r="124">
      <c r="A124" s="14" t="inlineStr">
        <is>
          <t>Other flows</t>
        </is>
      </c>
      <c r="B124" s="14" t="inlineStr">
        <is>
          <t>Bridge</t>
        </is>
      </c>
      <c r="C124" s="14" t="inlineStr">
        <is>
          <t>Garage</t>
        </is>
      </c>
      <c r="D124" s="14" t="inlineStr">
        <is>
          <t>Town Hall</t>
        </is>
      </c>
      <c r="E124" s="14" t="inlineStr">
        <is>
          <t>Courts</t>
        </is>
      </c>
      <c r="F124" s="14" t="inlineStr">
        <is>
          <t>A&amp;E</t>
        </is>
      </c>
      <c r="G124" s="14" t="inlineStr">
        <is>
          <t>Paving</t>
        </is>
      </c>
      <c r="H124" s="14" t="inlineStr">
        <is>
          <t>Proceeds</t>
        </is>
      </c>
      <c r="I124" s="14" t="inlineStr">
        <is>
          <t>Cap Reserve</t>
        </is>
      </c>
      <c r="J124" s="14" t="inlineStr"/>
      <c r="K124" s="14" t="inlineStr"/>
    </row>
    <row r="125">
      <c r="A125" t="inlineStr">
        <is>
          <t>FY2028</t>
        </is>
      </c>
      <c r="B125" s="26" t="n">
        <v>357</v>
      </c>
      <c r="C125" s="26" t="n">
        <v>-10750</v>
      </c>
      <c r="D125" s="26" t="n">
        <v>656</v>
      </c>
      <c r="E125" s="26" t="n">
        <v>129</v>
      </c>
      <c r="F125" s="26" t="n">
        <v>-450450</v>
      </c>
      <c r="G125" s="26" t="n">
        <v>-130770</v>
      </c>
      <c r="H125" s="26" t="n">
        <v>1183807</v>
      </c>
      <c r="I125" s="26" t="n">
        <v>0</v>
      </c>
    </row>
    <row r="126">
      <c r="A126" t="inlineStr">
        <is>
          <t>FY2029</t>
        </is>
      </c>
      <c r="B126" s="26" t="n">
        <v>359</v>
      </c>
      <c r="C126" s="26" t="n">
        <v>174</v>
      </c>
      <c r="D126" s="26" t="n">
        <v>-19339</v>
      </c>
      <c r="E126" s="26" t="n">
        <v>130</v>
      </c>
      <c r="F126" s="26" t="n">
        <v>-363130</v>
      </c>
      <c r="G126" s="26" t="n">
        <v>-70092</v>
      </c>
      <c r="H126" s="26" t="n">
        <v>8287</v>
      </c>
      <c r="I126" s="26" t="n">
        <v>0</v>
      </c>
    </row>
    <row r="127">
      <c r="A127" t="inlineStr">
        <is>
          <t>FY2030</t>
        </is>
      </c>
      <c r="B127" s="26" t="n">
        <v>362</v>
      </c>
      <c r="C127" s="26" t="n">
        <v>175</v>
      </c>
      <c r="D127" s="26" t="n">
        <v>-24475</v>
      </c>
      <c r="E127" s="26" t="n">
        <v>132</v>
      </c>
      <c r="F127" s="26" t="n">
        <v>-368232</v>
      </c>
      <c r="G127" s="26" t="n">
        <v>-70092</v>
      </c>
      <c r="H127" s="26" t="n">
        <v>-794546</v>
      </c>
      <c r="I127" s="26" t="n">
        <v>0</v>
      </c>
    </row>
    <row r="128">
      <c r="A128" t="inlineStr">
        <is>
          <t>FY2031</t>
        </is>
      </c>
      <c r="B128" s="26" t="n">
        <v>365</v>
      </c>
      <c r="C128" s="26" t="n">
        <v>177</v>
      </c>
      <c r="D128" s="26" t="n">
        <v>-19646</v>
      </c>
      <c r="E128" s="26" t="n">
        <v>132</v>
      </c>
      <c r="F128" s="26" t="n">
        <v>-409908</v>
      </c>
      <c r="G128" s="26" t="n">
        <v>-70092</v>
      </c>
      <c r="H128" s="26" t="n">
        <v>-378134</v>
      </c>
      <c r="I128" s="26" t="n">
        <v>0</v>
      </c>
    </row>
    <row r="129">
      <c r="A129" t="inlineStr">
        <is>
          <t>FY2032</t>
        </is>
      </c>
      <c r="B129" s="26" t="n">
        <v>367</v>
      </c>
      <c r="C129" s="26" t="n">
        <v>178</v>
      </c>
      <c r="D129" s="26" t="n">
        <v>-28783</v>
      </c>
      <c r="E129" s="26" t="n">
        <v>132</v>
      </c>
      <c r="F129" s="26" t="n">
        <v>-359691</v>
      </c>
      <c r="G129" s="26" t="n">
        <v>-70092</v>
      </c>
      <c r="H129" s="26" t="n">
        <v>136</v>
      </c>
      <c r="I129" s="26" t="n">
        <v>0</v>
      </c>
    </row>
    <row r="130">
      <c r="A130" t="inlineStr">
        <is>
          <t>FY2033</t>
        </is>
      </c>
      <c r="B130" s="26" t="n">
        <v>369</v>
      </c>
      <c r="C130" s="26" t="n">
        <v>-8321</v>
      </c>
      <c r="D130" s="26" t="n">
        <v>15</v>
      </c>
      <c r="E130" s="26" t="n">
        <v>134</v>
      </c>
      <c r="F130" s="26" t="n">
        <v>-357754</v>
      </c>
      <c r="G130" s="26" t="n">
        <v>-70092</v>
      </c>
      <c r="H130" s="26" t="n">
        <v>137</v>
      </c>
      <c r="I130" s="26" t="n">
        <v>0</v>
      </c>
    </row>
    <row r="131">
      <c r="A131" t="inlineStr">
        <is>
          <t>FY2034</t>
        </is>
      </c>
      <c r="B131" s="26" t="n">
        <v>372</v>
      </c>
      <c r="C131" s="26" t="n">
        <v>121</v>
      </c>
      <c r="D131" s="26" t="n">
        <v>51</v>
      </c>
      <c r="E131" s="26" t="n">
        <v>135</v>
      </c>
      <c r="F131" s="26" t="n">
        <v>-321480</v>
      </c>
      <c r="G131" s="26" t="n">
        <v>-70092</v>
      </c>
      <c r="H131" s="26" t="n">
        <v>138</v>
      </c>
      <c r="I131" s="26" t="n">
        <v>0</v>
      </c>
    </row>
    <row r="132">
      <c r="A132" t="inlineStr">
        <is>
          <t>FY2035</t>
        </is>
      </c>
      <c r="B132" s="26" t="n">
        <v>375</v>
      </c>
      <c r="C132" s="26" t="n">
        <v>122</v>
      </c>
      <c r="D132" s="26" t="n">
        <v>-19925</v>
      </c>
      <c r="E132" s="26" t="n">
        <v>136</v>
      </c>
      <c r="F132" s="26" t="n">
        <v>-589228</v>
      </c>
      <c r="G132" s="26" t="n">
        <v>-70092</v>
      </c>
      <c r="H132" s="26" t="n">
        <v>137</v>
      </c>
      <c r="I132" s="26" t="n">
        <v>0</v>
      </c>
    </row>
    <row r="133">
      <c r="A133" t="inlineStr">
        <is>
          <t>FY2036</t>
        </is>
      </c>
      <c r="B133" s="26" t="n">
        <v>378</v>
      </c>
      <c r="C133" s="26" t="n">
        <v>123</v>
      </c>
      <c r="D133" s="26" t="n">
        <v>0</v>
      </c>
      <c r="E133" s="26" t="n">
        <v>136</v>
      </c>
      <c r="F133" s="26" t="n">
        <v>-403670</v>
      </c>
      <c r="G133" s="26" t="n">
        <v>-70092</v>
      </c>
      <c r="H133" s="26" t="n">
        <v>140</v>
      </c>
      <c r="I133" s="26" t="n">
        <v>0</v>
      </c>
    </row>
    <row r="134">
      <c r="A134" t="inlineStr">
        <is>
          <t>FY2037</t>
        </is>
      </c>
      <c r="B134" s="26" t="n">
        <v>380</v>
      </c>
      <c r="C134" s="26" t="n">
        <v>124</v>
      </c>
      <c r="D134" s="26" t="n">
        <v>-12000</v>
      </c>
      <c r="E134" s="26" t="n">
        <v>138</v>
      </c>
      <c r="F134" s="26" t="n">
        <v>-331687</v>
      </c>
      <c r="G134" s="26" t="n">
        <v>-70092</v>
      </c>
      <c r="H134" s="26" t="n">
        <v>141</v>
      </c>
      <c r="I134" s="26" t="n">
        <v>0</v>
      </c>
    </row>
    <row r="135">
      <c r="A135" t="inlineStr">
        <is>
          <t>FY2038</t>
        </is>
      </c>
      <c r="B135" s="26" t="n">
        <v>382</v>
      </c>
      <c r="C135" s="26" t="n">
        <v>124</v>
      </c>
      <c r="D135" s="26" t="n">
        <v>0</v>
      </c>
      <c r="E135" s="26" t="n">
        <v>139</v>
      </c>
      <c r="F135" s="26" t="n">
        <v>-390359</v>
      </c>
      <c r="G135" s="26" t="n">
        <v>-69628</v>
      </c>
      <c r="H135" s="26" t="n">
        <v>141</v>
      </c>
      <c r="I135" s="26" t="n">
        <v>0</v>
      </c>
    </row>
    <row r="136">
      <c r="A136" t="inlineStr">
        <is>
          <t>FY2039</t>
        </is>
      </c>
      <c r="B136" s="26" t="n">
        <v>386</v>
      </c>
      <c r="C136" s="26" t="n">
        <v>125</v>
      </c>
      <c r="D136" s="26" t="n">
        <v>0</v>
      </c>
      <c r="E136" s="26" t="n">
        <v>139</v>
      </c>
      <c r="F136" s="26" t="n">
        <v>-350650</v>
      </c>
      <c r="G136" s="26" t="n">
        <v>-191003</v>
      </c>
      <c r="H136" s="26" t="n">
        <v>143</v>
      </c>
      <c r="I136" s="26" t="n">
        <v>0</v>
      </c>
    </row>
    <row r="137">
      <c r="A137" t="inlineStr">
        <is>
          <t>FY2040</t>
        </is>
      </c>
      <c r="B137" s="26" t="n">
        <v>388</v>
      </c>
      <c r="C137" s="26" t="n">
        <v>126</v>
      </c>
      <c r="D137" s="26" t="n">
        <v>0</v>
      </c>
      <c r="E137" s="26" t="n">
        <v>141</v>
      </c>
      <c r="F137" s="26" t="n">
        <v>-425895</v>
      </c>
      <c r="G137" s="26" t="n">
        <v>-69920</v>
      </c>
      <c r="H137" s="26" t="n">
        <v>144</v>
      </c>
      <c r="I137" s="26" t="n">
        <v>0</v>
      </c>
    </row>
    <row r="138">
      <c r="A138" t="inlineStr">
        <is>
          <t>FY2041</t>
        </is>
      </c>
      <c r="B138" s="26" t="n">
        <v>391</v>
      </c>
      <c r="C138" s="26" t="n">
        <v>127</v>
      </c>
      <c r="D138" s="26" t="n">
        <v>61</v>
      </c>
      <c r="E138" s="26" t="n">
        <v>141</v>
      </c>
      <c r="F138" s="26" t="n">
        <v>-210921</v>
      </c>
      <c r="G138" s="26" t="n">
        <v>-30000</v>
      </c>
      <c r="H138" s="26" t="n">
        <v>145</v>
      </c>
      <c r="I138" s="26" t="n">
        <v>0</v>
      </c>
    </row>
    <row r="139">
      <c r="A139" t="inlineStr">
        <is>
          <t>FY2042</t>
        </is>
      </c>
      <c r="B139" s="26" t="n">
        <v>393</v>
      </c>
      <c r="C139" s="26" t="n">
        <v>128</v>
      </c>
      <c r="D139" s="26" t="n">
        <v>-24415</v>
      </c>
      <c r="E139" s="26" t="n">
        <v>143</v>
      </c>
      <c r="F139" s="26" t="n">
        <v>-423482</v>
      </c>
      <c r="G139" s="26" t="n">
        <v>-30000</v>
      </c>
      <c r="H139" s="26" t="n">
        <v>145</v>
      </c>
      <c r="I139" s="26" t="n">
        <v>0</v>
      </c>
    </row>
    <row r="141" ht="40" customHeight="1">
      <c r="A141" s="4" t="inlineStr">
        <is>
          <t>Step up to $530k/yr (by FY2030)</t>
        </is>
      </c>
      <c r="B141" s="33" t="inlineStr">
        <is>
          <t>Floor-then-steer inside the single budget line: each fund first receives its current-year small purchases and its note payments; the remainder is steered to funds with needs inside three years; any excess to Asset &amp; Equipment. Bridge and Courts receive nothing — no scheduled work.</t>
        </is>
      </c>
    </row>
    <row r="142">
      <c r="A142" s="14" t="inlineStr">
        <is>
          <t>Deposits</t>
        </is>
      </c>
      <c r="B142" s="14" t="inlineStr">
        <is>
          <t>Bridge</t>
        </is>
      </c>
      <c r="C142" s="14" t="inlineStr">
        <is>
          <t>Garage</t>
        </is>
      </c>
      <c r="D142" s="14" t="inlineStr">
        <is>
          <t>Town Hall</t>
        </is>
      </c>
      <c r="E142" s="14" t="inlineStr">
        <is>
          <t>Courts</t>
        </is>
      </c>
      <c r="F142" s="14" t="inlineStr">
        <is>
          <t>A&amp;E</t>
        </is>
      </c>
      <c r="G142" s="14" t="inlineStr">
        <is>
          <t>Paving</t>
        </is>
      </c>
      <c r="H142" s="14" t="inlineStr">
        <is>
          <t>Proceeds</t>
        </is>
      </c>
      <c r="I142" s="14" t="inlineStr">
        <is>
          <t>Cap Reserve</t>
        </is>
      </c>
      <c r="J142" s="14" t="inlineStr">
        <is>
          <t>Direct spend (no fund)</t>
        </is>
      </c>
      <c r="K142" s="14" t="inlineStr">
        <is>
          <t>Total uses</t>
        </is>
      </c>
    </row>
    <row r="143">
      <c r="A143" t="inlineStr">
        <is>
          <t>FY2028</t>
        </is>
      </c>
      <c r="B143" s="26" t="n">
        <v>0</v>
      </c>
      <c r="C143" s="26" t="n">
        <v>0</v>
      </c>
      <c r="D143" s="26" t="n">
        <v>0</v>
      </c>
      <c r="E143" s="26" t="n">
        <v>0</v>
      </c>
      <c r="F143" s="26" t="n">
        <v>306724</v>
      </c>
      <c r="G143" s="26" t="n">
        <v>78248</v>
      </c>
      <c r="H143" s="26" t="n">
        <v>0</v>
      </c>
      <c r="I143" s="26" t="n">
        <v>0</v>
      </c>
      <c r="J143" s="26" t="n">
        <v>20000</v>
      </c>
      <c r="K143" s="17">
        <f>SUM(B143:J143)</f>
        <v>404972</v>
      </c>
    </row>
    <row r="144">
      <c r="A144" t="inlineStr">
        <is>
          <t>FY2029</t>
        </is>
      </c>
      <c r="B144" s="26" t="n">
        <v>0</v>
      </c>
      <c r="C144" s="26" t="n">
        <v>0</v>
      </c>
      <c r="D144" s="26" t="n">
        <v>0</v>
      </c>
      <c r="E144" s="26" t="n">
        <v>0</v>
      </c>
      <c r="F144" s="26" t="n">
        <v>355473</v>
      </c>
      <c r="G144" s="26" t="n">
        <v>71175</v>
      </c>
      <c r="H144" s="26" t="n">
        <v>0</v>
      </c>
      <c r="I144" s="26" t="n">
        <v>0</v>
      </c>
      <c r="J144" s="26" t="n">
        <v>31000</v>
      </c>
      <c r="K144" s="17">
        <f>SUM(B144:J144)</f>
        <v>457648</v>
      </c>
    </row>
    <row r="145">
      <c r="A145" t="inlineStr">
        <is>
          <t>FY2030</t>
        </is>
      </c>
      <c r="B145" s="26" t="n">
        <v>0</v>
      </c>
      <c r="C145" s="26" t="n">
        <v>0</v>
      </c>
      <c r="D145" s="26" t="n">
        <v>0</v>
      </c>
      <c r="E145" s="26" t="n">
        <v>0</v>
      </c>
      <c r="F145" s="26" t="n">
        <v>397149</v>
      </c>
      <c r="G145" s="26" t="n">
        <v>71175</v>
      </c>
      <c r="H145" s="26" t="n">
        <v>0</v>
      </c>
      <c r="I145" s="26" t="n">
        <v>0</v>
      </c>
      <c r="J145" s="26" t="n">
        <v>20000</v>
      </c>
      <c r="K145" s="17">
        <f>SUM(B145:J145)</f>
        <v>488324</v>
      </c>
    </row>
    <row r="146">
      <c r="A146" t="inlineStr">
        <is>
          <t>FY2031</t>
        </is>
      </c>
      <c r="B146" s="26" t="n">
        <v>0</v>
      </c>
      <c r="C146" s="26" t="n">
        <v>0</v>
      </c>
      <c r="D146" s="26" t="n">
        <v>0</v>
      </c>
      <c r="E146" s="26" t="n">
        <v>0</v>
      </c>
      <c r="F146" s="26" t="n">
        <v>438825</v>
      </c>
      <c r="G146" s="26" t="n">
        <v>71175</v>
      </c>
      <c r="H146" s="26" t="n">
        <v>0</v>
      </c>
      <c r="I146" s="26" t="n">
        <v>0</v>
      </c>
      <c r="J146" s="26" t="n">
        <v>20000</v>
      </c>
      <c r="K146" s="17">
        <f>SUM(B146:J146)</f>
        <v>530000</v>
      </c>
    </row>
    <row r="147">
      <c r="A147" t="inlineStr">
        <is>
          <t>FY2032</t>
        </is>
      </c>
      <c r="B147" s="26" t="n">
        <v>0</v>
      </c>
      <c r="C147" s="26" t="n">
        <v>0</v>
      </c>
      <c r="D147" s="26" t="n">
        <v>0</v>
      </c>
      <c r="E147" s="26" t="n">
        <v>0</v>
      </c>
      <c r="F147" s="26" t="n">
        <v>438825</v>
      </c>
      <c r="G147" s="26" t="n">
        <v>71175</v>
      </c>
      <c r="H147" s="26" t="n">
        <v>0</v>
      </c>
      <c r="I147" s="26" t="n">
        <v>0</v>
      </c>
      <c r="J147" s="26" t="n">
        <v>20000</v>
      </c>
      <c r="K147" s="17">
        <f>SUM(B147:J147)</f>
        <v>530000</v>
      </c>
    </row>
    <row r="148">
      <c r="A148" t="inlineStr">
        <is>
          <t>FY2033</t>
        </is>
      </c>
      <c r="B148" s="26" t="n">
        <v>0</v>
      </c>
      <c r="C148" s="26" t="n">
        <v>0</v>
      </c>
      <c r="D148" s="26" t="n">
        <v>7459</v>
      </c>
      <c r="E148" s="26" t="n">
        <v>0</v>
      </c>
      <c r="F148" s="26" t="n">
        <v>431366</v>
      </c>
      <c r="G148" s="26" t="n">
        <v>71175</v>
      </c>
      <c r="H148" s="26" t="n">
        <v>0</v>
      </c>
      <c r="I148" s="26" t="n">
        <v>0</v>
      </c>
      <c r="J148" s="26" t="n">
        <v>20000</v>
      </c>
      <c r="K148" s="17">
        <f>SUM(B148:J148)</f>
        <v>530000</v>
      </c>
    </row>
    <row r="149">
      <c r="A149" t="inlineStr">
        <is>
          <t>FY2034</t>
        </is>
      </c>
      <c r="B149" s="26" t="n">
        <v>0</v>
      </c>
      <c r="C149" s="26" t="n">
        <v>0</v>
      </c>
      <c r="D149" s="26" t="n">
        <v>3950</v>
      </c>
      <c r="E149" s="26" t="n">
        <v>0</v>
      </c>
      <c r="F149" s="26" t="n">
        <v>434875</v>
      </c>
      <c r="G149" s="26" t="n">
        <v>71175</v>
      </c>
      <c r="H149" s="26" t="n">
        <v>0</v>
      </c>
      <c r="I149" s="26" t="n">
        <v>0</v>
      </c>
      <c r="J149" s="26" t="n">
        <v>20000</v>
      </c>
      <c r="K149" s="17">
        <f>SUM(B149:J149)</f>
        <v>530000</v>
      </c>
    </row>
    <row r="150">
      <c r="A150" t="inlineStr">
        <is>
          <t>FY2035</t>
        </is>
      </c>
      <c r="B150" s="26" t="n">
        <v>0</v>
      </c>
      <c r="C150" s="26" t="n">
        <v>0</v>
      </c>
      <c r="D150" s="26" t="n">
        <v>2632</v>
      </c>
      <c r="E150" s="26" t="n">
        <v>0</v>
      </c>
      <c r="F150" s="26" t="n">
        <v>436193</v>
      </c>
      <c r="G150" s="26" t="n">
        <v>71175</v>
      </c>
      <c r="H150" s="26" t="n">
        <v>0</v>
      </c>
      <c r="I150" s="26" t="n">
        <v>0</v>
      </c>
      <c r="J150" s="26" t="n">
        <v>20000</v>
      </c>
      <c r="K150" s="17">
        <f>SUM(B150:J150)</f>
        <v>530000</v>
      </c>
    </row>
    <row r="151">
      <c r="A151" t="inlineStr">
        <is>
          <t>FY2036</t>
        </is>
      </c>
      <c r="B151" s="26" t="n">
        <v>0</v>
      </c>
      <c r="C151" s="26" t="n">
        <v>0</v>
      </c>
      <c r="D151" s="26" t="n">
        <v>3640</v>
      </c>
      <c r="E151" s="26" t="n">
        <v>0</v>
      </c>
      <c r="F151" s="26" t="n">
        <v>435185</v>
      </c>
      <c r="G151" s="26" t="n">
        <v>71175</v>
      </c>
      <c r="H151" s="26" t="n">
        <v>0</v>
      </c>
      <c r="I151" s="26" t="n">
        <v>0</v>
      </c>
      <c r="J151" s="26" t="n">
        <v>20000</v>
      </c>
      <c r="K151" s="17">
        <f>SUM(B151:J151)</f>
        <v>530000</v>
      </c>
    </row>
    <row r="152">
      <c r="A152" t="inlineStr">
        <is>
          <t>FY2037</t>
        </is>
      </c>
      <c r="B152" s="26" t="n">
        <v>0</v>
      </c>
      <c r="C152" s="26" t="n">
        <v>0</v>
      </c>
      <c r="D152" s="26" t="n">
        <v>12000</v>
      </c>
      <c r="E152" s="26" t="n">
        <v>0</v>
      </c>
      <c r="F152" s="26" t="n">
        <v>338408</v>
      </c>
      <c r="G152" s="26" t="n">
        <v>159592</v>
      </c>
      <c r="H152" s="26" t="n">
        <v>0</v>
      </c>
      <c r="I152" s="26" t="n">
        <v>0</v>
      </c>
      <c r="J152" s="26" t="n">
        <v>20000</v>
      </c>
      <c r="K152" s="17">
        <f>SUM(B152:J152)</f>
        <v>530000</v>
      </c>
    </row>
    <row r="153">
      <c r="A153" t="inlineStr">
        <is>
          <t>FY2038</t>
        </is>
      </c>
      <c r="B153" s="26" t="n">
        <v>0</v>
      </c>
      <c r="C153" s="26" t="n">
        <v>0</v>
      </c>
      <c r="D153" s="26" t="n">
        <v>0</v>
      </c>
      <c r="E153" s="26" t="n">
        <v>0</v>
      </c>
      <c r="F153" s="26" t="n">
        <v>400639</v>
      </c>
      <c r="G153" s="26" t="n">
        <v>109361</v>
      </c>
      <c r="H153" s="26" t="n">
        <v>0</v>
      </c>
      <c r="I153" s="26" t="n">
        <v>0</v>
      </c>
      <c r="J153" s="26" t="n">
        <v>20000</v>
      </c>
      <c r="K153" s="17">
        <f>SUM(B153:J153)</f>
        <v>530000</v>
      </c>
    </row>
    <row r="154">
      <c r="A154" t="inlineStr">
        <is>
          <t>FY2039</t>
        </is>
      </c>
      <c r="B154" s="26" t="n">
        <v>0</v>
      </c>
      <c r="C154" s="26" t="n">
        <v>0</v>
      </c>
      <c r="D154" s="26" t="n">
        <v>0</v>
      </c>
      <c r="E154" s="26" t="n">
        <v>0</v>
      </c>
      <c r="F154" s="26" t="n">
        <v>319962</v>
      </c>
      <c r="G154" s="26" t="n">
        <v>190038</v>
      </c>
      <c r="H154" s="26" t="n">
        <v>0</v>
      </c>
      <c r="I154" s="26" t="n">
        <v>0</v>
      </c>
      <c r="J154" s="26" t="n">
        <v>20000</v>
      </c>
      <c r="K154" s="17">
        <f>SUM(B154:J154)</f>
        <v>530000</v>
      </c>
    </row>
    <row r="155">
      <c r="A155" t="inlineStr">
        <is>
          <t>FY2040</t>
        </is>
      </c>
      <c r="B155" s="26" t="n">
        <v>0</v>
      </c>
      <c r="C155" s="26" t="n">
        <v>0</v>
      </c>
      <c r="D155" s="26" t="n">
        <v>18813</v>
      </c>
      <c r="E155" s="26" t="n">
        <v>0</v>
      </c>
      <c r="F155" s="26" t="n">
        <v>491187</v>
      </c>
      <c r="G155" s="26" t="n">
        <v>0</v>
      </c>
      <c r="H155" s="26" t="n">
        <v>0</v>
      </c>
      <c r="I155" s="26" t="n">
        <v>0</v>
      </c>
      <c r="J155" s="26" t="n">
        <v>35000</v>
      </c>
      <c r="K155" s="17">
        <f>SUM(B155:J155)</f>
        <v>545000</v>
      </c>
    </row>
    <row r="156">
      <c r="A156" t="inlineStr">
        <is>
          <t>FY2041</t>
        </is>
      </c>
      <c r="B156" s="26" t="n">
        <v>0</v>
      </c>
      <c r="C156" s="26" t="n">
        <v>0</v>
      </c>
      <c r="D156" s="26" t="n">
        <v>20525</v>
      </c>
      <c r="E156" s="26" t="n">
        <v>0</v>
      </c>
      <c r="F156" s="26" t="n">
        <v>489475</v>
      </c>
      <c r="G156" s="26" t="n">
        <v>0</v>
      </c>
      <c r="H156" s="26" t="n">
        <v>0</v>
      </c>
      <c r="I156" s="26" t="n">
        <v>0</v>
      </c>
      <c r="J156" s="26" t="n">
        <v>20000</v>
      </c>
      <c r="K156" s="17">
        <f>SUM(B156:J156)</f>
        <v>530000</v>
      </c>
    </row>
    <row r="157">
      <c r="A157" t="inlineStr">
        <is>
          <t>FY2042</t>
        </is>
      </c>
      <c r="B157" s="26" t="n">
        <v>0</v>
      </c>
      <c r="C157" s="26" t="n">
        <v>0</v>
      </c>
      <c r="D157" s="26" t="n">
        <v>0</v>
      </c>
      <c r="E157" s="26" t="n">
        <v>0</v>
      </c>
      <c r="F157" s="26" t="n">
        <v>505729</v>
      </c>
      <c r="G157" s="26" t="n">
        <v>4271</v>
      </c>
      <c r="H157" s="26" t="n">
        <v>0</v>
      </c>
      <c r="I157" s="26" t="n">
        <v>0</v>
      </c>
      <c r="J157" s="26" t="n">
        <v>20000</v>
      </c>
      <c r="K157" s="17">
        <f>SUM(B157:J157)</f>
        <v>530000</v>
      </c>
    </row>
    <row r="158">
      <c r="A158" s="16" t="inlineStr">
        <is>
          <t>Total</t>
        </is>
      </c>
      <c r="K158" s="17">
        <f>SUM(K143:K157)</f>
        <v>7725944</v>
      </c>
    </row>
    <row r="159">
      <c r="A159" s="14" t="inlineStr">
        <is>
          <t>Other flows</t>
        </is>
      </c>
      <c r="B159" s="14" t="inlineStr">
        <is>
          <t>Bridge</t>
        </is>
      </c>
      <c r="C159" s="14" t="inlineStr">
        <is>
          <t>Garage</t>
        </is>
      </c>
      <c r="D159" s="14" t="inlineStr">
        <is>
          <t>Town Hall</t>
        </is>
      </c>
      <c r="E159" s="14" t="inlineStr">
        <is>
          <t>Courts</t>
        </is>
      </c>
      <c r="F159" s="14" t="inlineStr">
        <is>
          <t>A&amp;E</t>
        </is>
      </c>
      <c r="G159" s="14" t="inlineStr">
        <is>
          <t>Paving</t>
        </is>
      </c>
      <c r="H159" s="14" t="inlineStr">
        <is>
          <t>Proceeds</t>
        </is>
      </c>
      <c r="I159" s="14" t="inlineStr">
        <is>
          <t>Cap Reserve</t>
        </is>
      </c>
      <c r="J159" s="14" t="inlineStr"/>
      <c r="K159" s="14" t="inlineStr"/>
    </row>
    <row r="160">
      <c r="A160" t="inlineStr">
        <is>
          <t>FY2028</t>
        </is>
      </c>
      <c r="B160" s="26" t="n">
        <v>357</v>
      </c>
      <c r="C160" s="26" t="n">
        <v>-10750</v>
      </c>
      <c r="D160" s="26" t="n">
        <v>656</v>
      </c>
      <c r="E160" s="26" t="n">
        <v>129</v>
      </c>
      <c r="F160" s="26" t="n">
        <v>-407187</v>
      </c>
      <c r="G160" s="26" t="n">
        <v>-120607</v>
      </c>
      <c r="H160" s="26" t="n">
        <v>1162010</v>
      </c>
      <c r="I160" s="26" t="n">
        <v>0</v>
      </c>
    </row>
    <row r="161">
      <c r="A161" t="inlineStr">
        <is>
          <t>FY2029</t>
        </is>
      </c>
      <c r="B161" s="26" t="n">
        <v>359</v>
      </c>
      <c r="C161" s="26" t="n">
        <v>174</v>
      </c>
      <c r="D161" s="26" t="n">
        <v>-19339</v>
      </c>
      <c r="E161" s="26" t="n">
        <v>130</v>
      </c>
      <c r="F161" s="26" t="n">
        <v>-355473</v>
      </c>
      <c r="G161" s="26" t="n">
        <v>-71175</v>
      </c>
      <c r="H161" s="26" t="n">
        <v>8135</v>
      </c>
      <c r="I161" s="26" t="n">
        <v>0</v>
      </c>
    </row>
    <row r="162">
      <c r="A162" t="inlineStr">
        <is>
          <t>FY2030</t>
        </is>
      </c>
      <c r="B162" s="26" t="n">
        <v>362</v>
      </c>
      <c r="C162" s="26" t="n">
        <v>175</v>
      </c>
      <c r="D162" s="26" t="n">
        <v>-24475</v>
      </c>
      <c r="E162" s="26" t="n">
        <v>132</v>
      </c>
      <c r="F162" s="26" t="n">
        <v>-397149</v>
      </c>
      <c r="G162" s="26" t="n">
        <v>-71175</v>
      </c>
      <c r="H162" s="26" t="n">
        <v>-794700</v>
      </c>
      <c r="I162" s="26" t="n">
        <v>0</v>
      </c>
    </row>
    <row r="163">
      <c r="A163" t="inlineStr">
        <is>
          <t>FY2031</t>
        </is>
      </c>
      <c r="B163" s="26" t="n">
        <v>365</v>
      </c>
      <c r="C163" s="26" t="n">
        <v>177</v>
      </c>
      <c r="D163" s="26" t="n">
        <v>-19646</v>
      </c>
      <c r="E163" s="26" t="n">
        <v>132</v>
      </c>
      <c r="F163" s="26" t="n">
        <v>-438825</v>
      </c>
      <c r="G163" s="26" t="n">
        <v>-71175</v>
      </c>
      <c r="H163" s="26" t="n">
        <v>-356492</v>
      </c>
      <c r="I163" s="26" t="n">
        <v>0</v>
      </c>
    </row>
    <row r="164">
      <c r="A164" t="inlineStr">
        <is>
          <t>FY2032</t>
        </is>
      </c>
      <c r="B164" s="26" t="n">
        <v>367</v>
      </c>
      <c r="C164" s="26" t="n">
        <v>178</v>
      </c>
      <c r="D164" s="26" t="n">
        <v>-28783</v>
      </c>
      <c r="E164" s="26" t="n">
        <v>132</v>
      </c>
      <c r="F164" s="26" t="n">
        <v>-366812</v>
      </c>
      <c r="G164" s="26" t="n">
        <v>-71175</v>
      </c>
      <c r="H164" s="26" t="n">
        <v>132</v>
      </c>
      <c r="I164" s="26" t="n">
        <v>0</v>
      </c>
    </row>
    <row r="165">
      <c r="A165" t="inlineStr">
        <is>
          <t>FY2033</t>
        </is>
      </c>
      <c r="B165" s="26" t="n">
        <v>369</v>
      </c>
      <c r="C165" s="26" t="n">
        <v>-8321</v>
      </c>
      <c r="D165" s="26" t="n">
        <v>14</v>
      </c>
      <c r="E165" s="26" t="n">
        <v>134</v>
      </c>
      <c r="F165" s="26" t="n">
        <v>-364720</v>
      </c>
      <c r="G165" s="26" t="n">
        <v>-71175</v>
      </c>
      <c r="H165" s="26" t="n">
        <v>134</v>
      </c>
      <c r="I165" s="26" t="n">
        <v>0</v>
      </c>
    </row>
    <row r="166">
      <c r="A166" t="inlineStr">
        <is>
          <t>FY2034</t>
        </is>
      </c>
      <c r="B166" s="26" t="n">
        <v>372</v>
      </c>
      <c r="C166" s="26" t="n">
        <v>121</v>
      </c>
      <c r="D166" s="26" t="n">
        <v>67</v>
      </c>
      <c r="E166" s="26" t="n">
        <v>135</v>
      </c>
      <c r="F166" s="26" t="n">
        <v>-318318</v>
      </c>
      <c r="G166" s="26" t="n">
        <v>-71175</v>
      </c>
      <c r="H166" s="26" t="n">
        <v>135</v>
      </c>
      <c r="I166" s="26" t="n">
        <v>0</v>
      </c>
    </row>
    <row r="167">
      <c r="A167" t="inlineStr">
        <is>
          <t>FY2035</t>
        </is>
      </c>
      <c r="B167" s="26" t="n">
        <v>375</v>
      </c>
      <c r="C167" s="26" t="n">
        <v>122</v>
      </c>
      <c r="D167" s="26" t="n">
        <v>-19904</v>
      </c>
      <c r="E167" s="26" t="n">
        <v>136</v>
      </c>
      <c r="F167" s="26" t="n">
        <v>-691409</v>
      </c>
      <c r="G167" s="26" t="n">
        <v>-71175</v>
      </c>
      <c r="H167" s="26" t="n">
        <v>134</v>
      </c>
      <c r="I167" s="26" t="n">
        <v>0</v>
      </c>
    </row>
    <row r="168">
      <c r="A168" t="inlineStr">
        <is>
          <t>FY2036</t>
        </is>
      </c>
      <c r="B168" s="26" t="n">
        <v>378</v>
      </c>
      <c r="C168" s="26" t="n">
        <v>123</v>
      </c>
      <c r="D168" s="26" t="n">
        <v>0</v>
      </c>
      <c r="E168" s="26" t="n">
        <v>136</v>
      </c>
      <c r="F168" s="26" t="n">
        <v>-435185</v>
      </c>
      <c r="G168" s="26" t="n">
        <v>-71175</v>
      </c>
      <c r="H168" s="26" t="n">
        <v>136</v>
      </c>
      <c r="I168" s="26" t="n">
        <v>0</v>
      </c>
    </row>
    <row r="169">
      <c r="A169" t="inlineStr">
        <is>
          <t>FY2037</t>
        </is>
      </c>
      <c r="B169" s="26" t="n">
        <v>380</v>
      </c>
      <c r="C169" s="26" t="n">
        <v>124</v>
      </c>
      <c r="D169" s="26" t="n">
        <v>-12000</v>
      </c>
      <c r="E169" s="26" t="n">
        <v>138</v>
      </c>
      <c r="F169" s="26" t="n">
        <v>-338408</v>
      </c>
      <c r="G169" s="26" t="n">
        <v>-71175</v>
      </c>
      <c r="H169" s="26" t="n">
        <v>138</v>
      </c>
      <c r="I169" s="26" t="n">
        <v>0</v>
      </c>
    </row>
    <row r="170">
      <c r="A170" t="inlineStr">
        <is>
          <t>FY2038</t>
        </is>
      </c>
      <c r="B170" s="26" t="n">
        <v>382</v>
      </c>
      <c r="C170" s="26" t="n">
        <v>124</v>
      </c>
      <c r="D170" s="26" t="n">
        <v>0</v>
      </c>
      <c r="E170" s="26" t="n">
        <v>139</v>
      </c>
      <c r="F170" s="26" t="n">
        <v>-400639</v>
      </c>
      <c r="G170" s="26" t="n">
        <v>-70556</v>
      </c>
      <c r="H170" s="26" t="n">
        <v>138</v>
      </c>
      <c r="I170" s="26" t="n">
        <v>0</v>
      </c>
    </row>
    <row r="171">
      <c r="A171" t="inlineStr">
        <is>
          <t>FY2039</t>
        </is>
      </c>
      <c r="B171" s="26" t="n">
        <v>386</v>
      </c>
      <c r="C171" s="26" t="n">
        <v>125</v>
      </c>
      <c r="D171" s="26" t="n">
        <v>0</v>
      </c>
      <c r="E171" s="26" t="n">
        <v>139</v>
      </c>
      <c r="F171" s="26" t="n">
        <v>-309317</v>
      </c>
      <c r="G171" s="26" t="n">
        <v>-191800</v>
      </c>
      <c r="H171" s="26" t="n">
        <v>139</v>
      </c>
      <c r="I171" s="26" t="n">
        <v>0</v>
      </c>
    </row>
    <row r="172">
      <c r="A172" t="inlineStr">
        <is>
          <t>FY2040</t>
        </is>
      </c>
      <c r="B172" s="26" t="n">
        <v>388</v>
      </c>
      <c r="C172" s="26" t="n">
        <v>126</v>
      </c>
      <c r="D172" s="26" t="n">
        <v>0</v>
      </c>
      <c r="E172" s="26" t="n">
        <v>141</v>
      </c>
      <c r="F172" s="26" t="n">
        <v>-501832</v>
      </c>
      <c r="G172" s="26" t="n">
        <v>-70296</v>
      </c>
      <c r="H172" s="26" t="n">
        <v>141</v>
      </c>
      <c r="I172" s="26" t="n">
        <v>0</v>
      </c>
    </row>
    <row r="173">
      <c r="A173" t="inlineStr">
        <is>
          <t>FY2041</t>
        </is>
      </c>
      <c r="B173" s="26" t="n">
        <v>391</v>
      </c>
      <c r="C173" s="26" t="n">
        <v>127</v>
      </c>
      <c r="D173" s="26" t="n">
        <v>131</v>
      </c>
      <c r="E173" s="26" t="n">
        <v>141</v>
      </c>
      <c r="F173" s="26" t="n">
        <v>-144808</v>
      </c>
      <c r="G173" s="26" t="n">
        <v>-29614</v>
      </c>
      <c r="H173" s="26" t="n">
        <v>141</v>
      </c>
      <c r="I173" s="26" t="n">
        <v>0</v>
      </c>
    </row>
    <row r="174">
      <c r="A174" t="inlineStr">
        <is>
          <t>FY2042</t>
        </is>
      </c>
      <c r="B174" s="26" t="n">
        <v>393</v>
      </c>
      <c r="C174" s="26" t="n">
        <v>128</v>
      </c>
      <c r="D174" s="26" t="n">
        <v>-24723</v>
      </c>
      <c r="E174" s="26" t="n">
        <v>143</v>
      </c>
      <c r="F174" s="26" t="n">
        <v>-366608</v>
      </c>
      <c r="G174" s="26" t="n">
        <v>-29821</v>
      </c>
      <c r="H174" s="26" t="n">
        <v>142</v>
      </c>
      <c r="I174" s="26" t="n">
        <v>0</v>
      </c>
    </row>
    <row r="176" ht="40" customHeight="1">
      <c r="A176" s="4" t="inlineStr">
        <is>
          <t>Full pre-funding ($565k/yr)</t>
        </is>
      </c>
      <c r="B176" s="33" t="inlineStr">
        <is>
          <t>Every new dollar goes to the one Capital Reserve Fund (the East Montpelier structure — new money only); the legacy funds receive no deposits and spend down on their own purposes.</t>
        </is>
      </c>
    </row>
    <row r="177">
      <c r="A177" s="14" t="inlineStr">
        <is>
          <t>Deposits</t>
        </is>
      </c>
      <c r="B177" s="14" t="inlineStr">
        <is>
          <t>Bridge</t>
        </is>
      </c>
      <c r="C177" s="14" t="inlineStr">
        <is>
          <t>Garage</t>
        </is>
      </c>
      <c r="D177" s="14" t="inlineStr">
        <is>
          <t>Town Hall</t>
        </is>
      </c>
      <c r="E177" s="14" t="inlineStr">
        <is>
          <t>Courts</t>
        </is>
      </c>
      <c r="F177" s="14" t="inlineStr">
        <is>
          <t>A&amp;E</t>
        </is>
      </c>
      <c r="G177" s="14" t="inlineStr">
        <is>
          <t>Paving</t>
        </is>
      </c>
      <c r="H177" s="14" t="inlineStr">
        <is>
          <t>Proceeds</t>
        </is>
      </c>
      <c r="I177" s="14" t="inlineStr">
        <is>
          <t>Cap Reserve</t>
        </is>
      </c>
      <c r="J177" s="14" t="inlineStr">
        <is>
          <t>Direct spend (no fund)</t>
        </is>
      </c>
      <c r="K177" s="14" t="inlineStr">
        <is>
          <t>Total uses</t>
        </is>
      </c>
    </row>
    <row r="178">
      <c r="A178" t="inlineStr">
        <is>
          <t>FY2028</t>
        </is>
      </c>
      <c r="B178" s="26" t="n">
        <v>0</v>
      </c>
      <c r="C178" s="26" t="n">
        <v>0</v>
      </c>
      <c r="D178" s="26" t="n">
        <v>0</v>
      </c>
      <c r="E178" s="26" t="n">
        <v>0</v>
      </c>
      <c r="F178" s="26" t="n">
        <v>0</v>
      </c>
      <c r="G178" s="26" t="n">
        <v>0</v>
      </c>
      <c r="H178" s="26" t="n">
        <v>0</v>
      </c>
      <c r="I178" s="26" t="n">
        <v>499972</v>
      </c>
      <c r="J178" s="26" t="n">
        <v>20000</v>
      </c>
      <c r="K178" s="17">
        <f>SUM(B178:J178)</f>
        <v>519972</v>
      </c>
    </row>
    <row r="179">
      <c r="A179" t="inlineStr">
        <is>
          <t>FY2029</t>
        </is>
      </c>
      <c r="B179" s="26" t="n">
        <v>0</v>
      </c>
      <c r="C179" s="26" t="n">
        <v>0</v>
      </c>
      <c r="D179" s="26" t="n">
        <v>0</v>
      </c>
      <c r="E179" s="26" t="n">
        <v>0</v>
      </c>
      <c r="F179" s="26" t="n">
        <v>0</v>
      </c>
      <c r="G179" s="26" t="n">
        <v>0</v>
      </c>
      <c r="H179" s="26" t="n">
        <v>0</v>
      </c>
      <c r="I179" s="26" t="n">
        <v>501648</v>
      </c>
      <c r="J179" s="26" t="n">
        <v>31000</v>
      </c>
      <c r="K179" s="17">
        <f>SUM(B179:J179)</f>
        <v>532648</v>
      </c>
    </row>
    <row r="180">
      <c r="A180" t="inlineStr">
        <is>
          <t>FY2030</t>
        </is>
      </c>
      <c r="B180" s="26" t="n">
        <v>0</v>
      </c>
      <c r="C180" s="26" t="n">
        <v>0</v>
      </c>
      <c r="D180" s="26" t="n">
        <v>0</v>
      </c>
      <c r="E180" s="26" t="n">
        <v>0</v>
      </c>
      <c r="F180" s="26" t="n">
        <v>0</v>
      </c>
      <c r="G180" s="26" t="n">
        <v>0</v>
      </c>
      <c r="H180" s="26" t="n">
        <v>0</v>
      </c>
      <c r="I180" s="26" t="n">
        <v>503324</v>
      </c>
      <c r="J180" s="26" t="n">
        <v>20000</v>
      </c>
      <c r="K180" s="17">
        <f>SUM(B180:J180)</f>
        <v>523324</v>
      </c>
    </row>
    <row r="181">
      <c r="A181" t="inlineStr">
        <is>
          <t>FY2031</t>
        </is>
      </c>
      <c r="B181" s="26" t="n">
        <v>0</v>
      </c>
      <c r="C181" s="26" t="n">
        <v>0</v>
      </c>
      <c r="D181" s="26" t="n">
        <v>0</v>
      </c>
      <c r="E181" s="26" t="n">
        <v>0</v>
      </c>
      <c r="F181" s="26" t="n">
        <v>0</v>
      </c>
      <c r="G181" s="26" t="n">
        <v>0</v>
      </c>
      <c r="H181" s="26" t="n">
        <v>0</v>
      </c>
      <c r="I181" s="26" t="n">
        <v>545000</v>
      </c>
      <c r="J181" s="26" t="n">
        <v>20000</v>
      </c>
      <c r="K181" s="17">
        <f>SUM(B181:J181)</f>
        <v>565000</v>
      </c>
    </row>
    <row r="182">
      <c r="A182" t="inlineStr">
        <is>
          <t>FY2032</t>
        </is>
      </c>
      <c r="B182" s="26" t="n">
        <v>0</v>
      </c>
      <c r="C182" s="26" t="n">
        <v>0</v>
      </c>
      <c r="D182" s="26" t="n">
        <v>0</v>
      </c>
      <c r="E182" s="26" t="n">
        <v>0</v>
      </c>
      <c r="F182" s="26" t="n">
        <v>0</v>
      </c>
      <c r="G182" s="26" t="n">
        <v>0</v>
      </c>
      <c r="H182" s="26" t="n">
        <v>0</v>
      </c>
      <c r="I182" s="26" t="n">
        <v>545000</v>
      </c>
      <c r="J182" s="26" t="n">
        <v>20000</v>
      </c>
      <c r="K182" s="17">
        <f>SUM(B182:J182)</f>
        <v>565000</v>
      </c>
    </row>
    <row r="183">
      <c r="A183" t="inlineStr">
        <is>
          <t>FY2033</t>
        </is>
      </c>
      <c r="B183" s="26" t="n">
        <v>0</v>
      </c>
      <c r="C183" s="26" t="n">
        <v>0</v>
      </c>
      <c r="D183" s="26" t="n">
        <v>0</v>
      </c>
      <c r="E183" s="26" t="n">
        <v>0</v>
      </c>
      <c r="F183" s="26" t="n">
        <v>0</v>
      </c>
      <c r="G183" s="26" t="n">
        <v>0</v>
      </c>
      <c r="H183" s="26" t="n">
        <v>0</v>
      </c>
      <c r="I183" s="26" t="n">
        <v>545000</v>
      </c>
      <c r="J183" s="26" t="n">
        <v>20000</v>
      </c>
      <c r="K183" s="17">
        <f>SUM(B183:J183)</f>
        <v>565000</v>
      </c>
    </row>
    <row r="184">
      <c r="A184" t="inlineStr">
        <is>
          <t>FY2034</t>
        </is>
      </c>
      <c r="B184" s="26" t="n">
        <v>0</v>
      </c>
      <c r="C184" s="26" t="n">
        <v>0</v>
      </c>
      <c r="D184" s="26" t="n">
        <v>0</v>
      </c>
      <c r="E184" s="26" t="n">
        <v>0</v>
      </c>
      <c r="F184" s="26" t="n">
        <v>0</v>
      </c>
      <c r="G184" s="26" t="n">
        <v>0</v>
      </c>
      <c r="H184" s="26" t="n">
        <v>0</v>
      </c>
      <c r="I184" s="26" t="n">
        <v>545000</v>
      </c>
      <c r="J184" s="26" t="n">
        <v>20000</v>
      </c>
      <c r="K184" s="17">
        <f>SUM(B184:J184)</f>
        <v>565000</v>
      </c>
    </row>
    <row r="185">
      <c r="A185" t="inlineStr">
        <is>
          <t>FY2035</t>
        </is>
      </c>
      <c r="B185" s="26" t="n">
        <v>0</v>
      </c>
      <c r="C185" s="26" t="n">
        <v>0</v>
      </c>
      <c r="D185" s="26" t="n">
        <v>0</v>
      </c>
      <c r="E185" s="26" t="n">
        <v>0</v>
      </c>
      <c r="F185" s="26" t="n">
        <v>0</v>
      </c>
      <c r="G185" s="26" t="n">
        <v>0</v>
      </c>
      <c r="H185" s="26" t="n">
        <v>0</v>
      </c>
      <c r="I185" s="26" t="n">
        <v>545000</v>
      </c>
      <c r="J185" s="26" t="n">
        <v>20000</v>
      </c>
      <c r="K185" s="17">
        <f>SUM(B185:J185)</f>
        <v>565000</v>
      </c>
    </row>
    <row r="186">
      <c r="A186" t="inlineStr">
        <is>
          <t>FY2036</t>
        </is>
      </c>
      <c r="B186" s="26" t="n">
        <v>0</v>
      </c>
      <c r="C186" s="26" t="n">
        <v>0</v>
      </c>
      <c r="D186" s="26" t="n">
        <v>0</v>
      </c>
      <c r="E186" s="26" t="n">
        <v>0</v>
      </c>
      <c r="F186" s="26" t="n">
        <v>0</v>
      </c>
      <c r="G186" s="26" t="n">
        <v>0</v>
      </c>
      <c r="H186" s="26" t="n">
        <v>0</v>
      </c>
      <c r="I186" s="26" t="n">
        <v>545000</v>
      </c>
      <c r="J186" s="26" t="n">
        <v>20000</v>
      </c>
      <c r="K186" s="17">
        <f>SUM(B186:J186)</f>
        <v>565000</v>
      </c>
    </row>
    <row r="187">
      <c r="A187" t="inlineStr">
        <is>
          <t>FY2037</t>
        </is>
      </c>
      <c r="B187" s="26" t="n">
        <v>0</v>
      </c>
      <c r="C187" s="26" t="n">
        <v>0</v>
      </c>
      <c r="D187" s="26" t="n">
        <v>0</v>
      </c>
      <c r="E187" s="26" t="n">
        <v>0</v>
      </c>
      <c r="F187" s="26" t="n">
        <v>0</v>
      </c>
      <c r="G187" s="26" t="n">
        <v>0</v>
      </c>
      <c r="H187" s="26" t="n">
        <v>0</v>
      </c>
      <c r="I187" s="26" t="n">
        <v>545000</v>
      </c>
      <c r="J187" s="26" t="n">
        <v>20000</v>
      </c>
      <c r="K187" s="17">
        <f>SUM(B187:J187)</f>
        <v>565000</v>
      </c>
    </row>
    <row r="188">
      <c r="A188" t="inlineStr">
        <is>
          <t>FY2038</t>
        </is>
      </c>
      <c r="B188" s="26" t="n">
        <v>0</v>
      </c>
      <c r="C188" s="26" t="n">
        <v>0</v>
      </c>
      <c r="D188" s="26" t="n">
        <v>0</v>
      </c>
      <c r="E188" s="26" t="n">
        <v>0</v>
      </c>
      <c r="F188" s="26" t="n">
        <v>0</v>
      </c>
      <c r="G188" s="26" t="n">
        <v>0</v>
      </c>
      <c r="H188" s="26" t="n">
        <v>0</v>
      </c>
      <c r="I188" s="26" t="n">
        <v>545000</v>
      </c>
      <c r="J188" s="26" t="n">
        <v>20000</v>
      </c>
      <c r="K188" s="17">
        <f>SUM(B188:J188)</f>
        <v>565000</v>
      </c>
    </row>
    <row r="189">
      <c r="A189" t="inlineStr">
        <is>
          <t>FY2039</t>
        </is>
      </c>
      <c r="B189" s="26" t="n">
        <v>0</v>
      </c>
      <c r="C189" s="26" t="n">
        <v>0</v>
      </c>
      <c r="D189" s="26" t="n">
        <v>0</v>
      </c>
      <c r="E189" s="26" t="n">
        <v>0</v>
      </c>
      <c r="F189" s="26" t="n">
        <v>0</v>
      </c>
      <c r="G189" s="26" t="n">
        <v>0</v>
      </c>
      <c r="H189" s="26" t="n">
        <v>0</v>
      </c>
      <c r="I189" s="26" t="n">
        <v>545000</v>
      </c>
      <c r="J189" s="26" t="n">
        <v>20000</v>
      </c>
      <c r="K189" s="17">
        <f>SUM(B189:J189)</f>
        <v>565000</v>
      </c>
    </row>
    <row r="190">
      <c r="A190" t="inlineStr">
        <is>
          <t>FY2040</t>
        </is>
      </c>
      <c r="B190" s="26" t="n">
        <v>0</v>
      </c>
      <c r="C190" s="26" t="n">
        <v>0</v>
      </c>
      <c r="D190" s="26" t="n">
        <v>0</v>
      </c>
      <c r="E190" s="26" t="n">
        <v>0</v>
      </c>
      <c r="F190" s="26" t="n">
        <v>0</v>
      </c>
      <c r="G190" s="26" t="n">
        <v>0</v>
      </c>
      <c r="H190" s="26" t="n">
        <v>0</v>
      </c>
      <c r="I190" s="26" t="n">
        <v>545000</v>
      </c>
      <c r="J190" s="26" t="n">
        <v>35000</v>
      </c>
      <c r="K190" s="17">
        <f>SUM(B190:J190)</f>
        <v>580000</v>
      </c>
    </row>
    <row r="191">
      <c r="A191" t="inlineStr">
        <is>
          <t>FY2041</t>
        </is>
      </c>
      <c r="B191" s="26" t="n">
        <v>0</v>
      </c>
      <c r="C191" s="26" t="n">
        <v>0</v>
      </c>
      <c r="D191" s="26" t="n">
        <v>0</v>
      </c>
      <c r="E191" s="26" t="n">
        <v>0</v>
      </c>
      <c r="F191" s="26" t="n">
        <v>0</v>
      </c>
      <c r="G191" s="26" t="n">
        <v>0</v>
      </c>
      <c r="H191" s="26" t="n">
        <v>0</v>
      </c>
      <c r="I191" s="26" t="n">
        <v>545000</v>
      </c>
      <c r="J191" s="26" t="n">
        <v>20000</v>
      </c>
      <c r="K191" s="17">
        <f>SUM(B191:J191)</f>
        <v>565000</v>
      </c>
    </row>
    <row r="192">
      <c r="A192" t="inlineStr">
        <is>
          <t>FY2042</t>
        </is>
      </c>
      <c r="B192" s="26" t="n">
        <v>0</v>
      </c>
      <c r="C192" s="26" t="n">
        <v>0</v>
      </c>
      <c r="D192" s="26" t="n">
        <v>0</v>
      </c>
      <c r="E192" s="26" t="n">
        <v>0</v>
      </c>
      <c r="F192" s="26" t="n">
        <v>0</v>
      </c>
      <c r="G192" s="26" t="n">
        <v>0</v>
      </c>
      <c r="H192" s="26" t="n">
        <v>0</v>
      </c>
      <c r="I192" s="26" t="n">
        <v>545000</v>
      </c>
      <c r="J192" s="26" t="n">
        <v>20000</v>
      </c>
      <c r="K192" s="17">
        <f>SUM(B192:J192)</f>
        <v>565000</v>
      </c>
    </row>
    <row r="193">
      <c r="A193" s="16" t="inlineStr">
        <is>
          <t>Total</t>
        </is>
      </c>
      <c r="K193" s="17">
        <f>SUM(K178:K192)</f>
        <v>8370944</v>
      </c>
    </row>
    <row r="194">
      <c r="A194" s="14" t="inlineStr">
        <is>
          <t>Other flows</t>
        </is>
      </c>
      <c r="B194" s="14" t="inlineStr">
        <is>
          <t>Bridge</t>
        </is>
      </c>
      <c r="C194" s="14" t="inlineStr">
        <is>
          <t>Garage</t>
        </is>
      </c>
      <c r="D194" s="14" t="inlineStr">
        <is>
          <t>Town Hall</t>
        </is>
      </c>
      <c r="E194" s="14" t="inlineStr">
        <is>
          <t>Courts</t>
        </is>
      </c>
      <c r="F194" s="14" t="inlineStr">
        <is>
          <t>A&amp;E</t>
        </is>
      </c>
      <c r="G194" s="14" t="inlineStr">
        <is>
          <t>Paving</t>
        </is>
      </c>
      <c r="H194" s="14" t="inlineStr">
        <is>
          <t>Proceeds</t>
        </is>
      </c>
      <c r="I194" s="14" t="inlineStr">
        <is>
          <t>Cap Reserve</t>
        </is>
      </c>
      <c r="J194" s="14" t="inlineStr"/>
      <c r="K194" s="14" t="inlineStr"/>
    </row>
    <row r="195">
      <c r="A195" t="inlineStr">
        <is>
          <t>FY2028</t>
        </is>
      </c>
      <c r="B195" s="26" t="n">
        <v>357</v>
      </c>
      <c r="C195" s="26" t="n">
        <v>-10750</v>
      </c>
      <c r="D195" s="26" t="n">
        <v>656</v>
      </c>
      <c r="E195" s="26" t="n">
        <v>129</v>
      </c>
      <c r="F195" s="26" t="n">
        <v>-100463</v>
      </c>
      <c r="G195" s="26" t="n">
        <v>-42359</v>
      </c>
      <c r="H195" s="26" t="n">
        <v>1124086</v>
      </c>
      <c r="I195" s="26" t="n">
        <v>-499972</v>
      </c>
    </row>
    <row r="196">
      <c r="A196" t="inlineStr">
        <is>
          <t>FY2029</t>
        </is>
      </c>
      <c r="B196" s="26" t="n">
        <v>359</v>
      </c>
      <c r="C196" s="26" t="n">
        <v>174</v>
      </c>
      <c r="D196" s="26" t="n">
        <v>-19339</v>
      </c>
      <c r="E196" s="26" t="n">
        <v>130</v>
      </c>
      <c r="F196" s="26" t="n">
        <v>0</v>
      </c>
      <c r="G196" s="26" t="n">
        <v>0</v>
      </c>
      <c r="H196" s="26" t="n">
        <v>7869</v>
      </c>
      <c r="I196" s="26" t="n">
        <v>-501648</v>
      </c>
    </row>
    <row r="197">
      <c r="A197" t="inlineStr">
        <is>
          <t>FY2030</t>
        </is>
      </c>
      <c r="B197" s="26" t="n">
        <v>362</v>
      </c>
      <c r="C197" s="26" t="n">
        <v>175</v>
      </c>
      <c r="D197" s="26" t="n">
        <v>-24475</v>
      </c>
      <c r="E197" s="26" t="n">
        <v>132</v>
      </c>
      <c r="F197" s="26" t="n">
        <v>0</v>
      </c>
      <c r="G197" s="26" t="n">
        <v>0</v>
      </c>
      <c r="H197" s="26" t="n">
        <v>-794968</v>
      </c>
      <c r="I197" s="26" t="n">
        <v>-503324</v>
      </c>
    </row>
    <row r="198">
      <c r="A198" t="inlineStr">
        <is>
          <t>FY2031</t>
        </is>
      </c>
      <c r="B198" s="26" t="n">
        <v>365</v>
      </c>
      <c r="C198" s="26" t="n">
        <v>177</v>
      </c>
      <c r="D198" s="26" t="n">
        <v>-19646</v>
      </c>
      <c r="E198" s="26" t="n">
        <v>132</v>
      </c>
      <c r="F198" s="26" t="n">
        <v>0</v>
      </c>
      <c r="G198" s="26" t="n">
        <v>0</v>
      </c>
      <c r="H198" s="26" t="n">
        <v>-318836</v>
      </c>
      <c r="I198" s="26" t="n">
        <v>-545000</v>
      </c>
    </row>
    <row r="199">
      <c r="A199" t="inlineStr">
        <is>
          <t>FY2032</t>
        </is>
      </c>
      <c r="B199" s="26" t="n">
        <v>367</v>
      </c>
      <c r="C199" s="26" t="n">
        <v>178</v>
      </c>
      <c r="D199" s="26" t="n">
        <v>-28783</v>
      </c>
      <c r="E199" s="26" t="n">
        <v>132</v>
      </c>
      <c r="F199" s="26" t="n">
        <v>0</v>
      </c>
      <c r="G199" s="26" t="n">
        <v>0</v>
      </c>
      <c r="H199" s="26" t="n">
        <v>127</v>
      </c>
      <c r="I199" s="26" t="n">
        <v>-435062</v>
      </c>
    </row>
    <row r="200">
      <c r="A200" t="inlineStr">
        <is>
          <t>FY2033</t>
        </is>
      </c>
      <c r="B200" s="26" t="n">
        <v>369</v>
      </c>
      <c r="C200" s="26" t="n">
        <v>-8321</v>
      </c>
      <c r="D200" s="26" t="n">
        <v>15</v>
      </c>
      <c r="E200" s="26" t="n">
        <v>134</v>
      </c>
      <c r="F200" s="26" t="n">
        <v>0</v>
      </c>
      <c r="G200" s="26" t="n">
        <v>0</v>
      </c>
      <c r="H200" s="26" t="n">
        <v>128</v>
      </c>
      <c r="I200" s="26" t="n">
        <v>-432706</v>
      </c>
    </row>
    <row r="201">
      <c r="A201" t="inlineStr">
        <is>
          <t>FY2034</t>
        </is>
      </c>
      <c r="B201" s="26" t="n">
        <v>372</v>
      </c>
      <c r="C201" s="26" t="n">
        <v>121</v>
      </c>
      <c r="D201" s="26" t="n">
        <v>15</v>
      </c>
      <c r="E201" s="26" t="n">
        <v>135</v>
      </c>
      <c r="F201" s="26" t="n">
        <v>0</v>
      </c>
      <c r="G201" s="26" t="n">
        <v>0</v>
      </c>
      <c r="H201" s="26" t="n">
        <v>129</v>
      </c>
      <c r="I201" s="26" t="n">
        <v>-323290</v>
      </c>
    </row>
    <row r="202">
      <c r="A202" t="inlineStr">
        <is>
          <t>FY2035</t>
        </is>
      </c>
      <c r="B202" s="26" t="n">
        <v>375</v>
      </c>
      <c r="C202" s="26" t="n">
        <v>122</v>
      </c>
      <c r="D202" s="26" t="n">
        <v>-2172</v>
      </c>
      <c r="E202" s="26" t="n">
        <v>136</v>
      </c>
      <c r="F202" s="26" t="n">
        <v>0</v>
      </c>
      <c r="G202" s="26" t="n">
        <v>0</v>
      </c>
      <c r="H202" s="26" t="n">
        <v>130</v>
      </c>
      <c r="I202" s="26" t="n">
        <v>-990780</v>
      </c>
    </row>
    <row r="203">
      <c r="A203" t="inlineStr">
        <is>
          <t>FY2036</t>
        </is>
      </c>
      <c r="B203" s="26" t="n">
        <v>378</v>
      </c>
      <c r="C203" s="26" t="n">
        <v>123</v>
      </c>
      <c r="D203" s="26" t="n">
        <v>0</v>
      </c>
      <c r="E203" s="26" t="n">
        <v>136</v>
      </c>
      <c r="F203" s="26" t="n">
        <v>0</v>
      </c>
      <c r="G203" s="26" t="n">
        <v>0</v>
      </c>
      <c r="H203" s="26" t="n">
        <v>130</v>
      </c>
      <c r="I203" s="26" t="n">
        <v>-529507</v>
      </c>
    </row>
    <row r="204">
      <c r="A204" t="inlineStr">
        <is>
          <t>FY2037</t>
        </is>
      </c>
      <c r="B204" s="26" t="n">
        <v>380</v>
      </c>
      <c r="C204" s="26" t="n">
        <v>124</v>
      </c>
      <c r="D204" s="26" t="n">
        <v>0</v>
      </c>
      <c r="E204" s="26" t="n">
        <v>138</v>
      </c>
      <c r="F204" s="26" t="n">
        <v>0</v>
      </c>
      <c r="G204" s="26" t="n">
        <v>0</v>
      </c>
      <c r="H204" s="26" t="n">
        <v>132</v>
      </c>
      <c r="I204" s="26" t="n">
        <v>-537513</v>
      </c>
    </row>
    <row r="205">
      <c r="A205" t="inlineStr">
        <is>
          <t>FY2038</t>
        </is>
      </c>
      <c r="B205" s="26" t="n">
        <v>382</v>
      </c>
      <c r="C205" s="26" t="n">
        <v>124</v>
      </c>
      <c r="D205" s="26" t="n">
        <v>0</v>
      </c>
      <c r="E205" s="26" t="n">
        <v>139</v>
      </c>
      <c r="F205" s="26" t="n">
        <v>0</v>
      </c>
      <c r="G205" s="26" t="n">
        <v>0</v>
      </c>
      <c r="H205" s="26" t="n">
        <v>132</v>
      </c>
      <c r="I205" s="26" t="n">
        <v>-397960</v>
      </c>
    </row>
    <row r="206">
      <c r="A206" t="inlineStr">
        <is>
          <t>FY2039</t>
        </is>
      </c>
      <c r="B206" s="26" t="n">
        <v>386</v>
      </c>
      <c r="C206" s="26" t="n">
        <v>125</v>
      </c>
      <c r="D206" s="26" t="n">
        <v>0</v>
      </c>
      <c r="E206" s="26" t="n">
        <v>139</v>
      </c>
      <c r="F206" s="26" t="n">
        <v>0</v>
      </c>
      <c r="G206" s="26" t="n">
        <v>0</v>
      </c>
      <c r="H206" s="26" t="n">
        <v>134</v>
      </c>
      <c r="I206" s="26" t="n">
        <v>-339945</v>
      </c>
    </row>
    <row r="207">
      <c r="A207" t="inlineStr">
        <is>
          <t>FY2040</t>
        </is>
      </c>
      <c r="B207" s="26" t="n">
        <v>388</v>
      </c>
      <c r="C207" s="26" t="n">
        <v>126</v>
      </c>
      <c r="D207" s="26" t="n">
        <v>0</v>
      </c>
      <c r="E207" s="26" t="n">
        <v>141</v>
      </c>
      <c r="F207" s="26" t="n">
        <v>0</v>
      </c>
      <c r="G207" s="26" t="n">
        <v>0</v>
      </c>
      <c r="H207" s="26" t="n">
        <v>134</v>
      </c>
      <c r="I207" s="26" t="n">
        <v>-535745</v>
      </c>
    </row>
    <row r="208">
      <c r="A208" t="inlineStr">
        <is>
          <t>FY2041</t>
        </is>
      </c>
      <c r="B208" s="26" t="n">
        <v>391</v>
      </c>
      <c r="C208" s="26" t="n">
        <v>127</v>
      </c>
      <c r="D208" s="26" t="n">
        <v>0</v>
      </c>
      <c r="E208" s="26" t="n">
        <v>141</v>
      </c>
      <c r="F208" s="26" t="n">
        <v>0</v>
      </c>
      <c r="G208" s="26" t="n">
        <v>0</v>
      </c>
      <c r="H208" s="26" t="n">
        <v>135</v>
      </c>
      <c r="I208" s="26" t="n">
        <v>-27323</v>
      </c>
    </row>
    <row r="209">
      <c r="A209" t="inlineStr">
        <is>
          <t>FY2042</t>
        </is>
      </c>
      <c r="B209" s="26" t="n">
        <v>393</v>
      </c>
      <c r="C209" s="26" t="n">
        <v>128</v>
      </c>
      <c r="D209" s="26" t="n">
        <v>0</v>
      </c>
      <c r="E209" s="26" t="n">
        <v>143</v>
      </c>
      <c r="F209" s="26" t="n">
        <v>0</v>
      </c>
      <c r="G209" s="26" t="n">
        <v>0</v>
      </c>
      <c r="H209" s="26" t="n">
        <v>137</v>
      </c>
      <c r="I209" s="26" t="n">
        <v>-295199</v>
      </c>
    </row>
    <row r="211">
      <c r="A211" s="6" t="inlineStr">
        <is>
          <t>Deposits are each plan's allocation of the levy into its funds — the engine's decision under the rule stated above each block; the FY2028 row is the starting contribution. Direct spend is levy money that never enters a fund: the $20,000 reappraisal set-aside every year, plus small items whose category has no reserve fund (the fire-station building work). Levy = tax-line debt service + deposits + direct spend, and the Summary Checks block enforces that tie. Other flows complete each fund's year: interest earned, purchases paid, note payments, and bond-proceeds movements (issuance in, draws out) — which is why the Proceeds column carries no deposits. Funds by Plan's net columns are the live sum of the two tables; edit either and everything downstream recomputes.</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11.xml><?xml version="1.0" encoding="utf-8"?>
<worksheet xmlns="http://schemas.openxmlformats.org/spreadsheetml/2006/main">
  <sheetPr>
    <tabColor rgb="FF1F4E9E"/>
    <outlinePr summaryBelow="1" summaryRight="1"/>
    <pageSetUpPr fitToPage="1"/>
  </sheetPr>
  <dimension ref="A1:S115"/>
  <sheetViews>
    <sheetView workbookViewId="0">
      <pane xSplit="1" topLeftCell="B1" activePane="topRight" state="frozen"/>
      <selection pane="topRight" activeCell="A1" sqref="A1"/>
    </sheetView>
  </sheetViews>
  <sheetFormatPr baseColWidth="8" defaultRowHeight="15"/>
  <cols>
    <col width="12" customWidth="1" min="1" max="1"/>
    <col width="12" customWidth="1" min="2" max="2"/>
    <col width="12" customWidth="1" min="3" max="3"/>
    <col width="12" customWidth="1" min="4" max="4"/>
    <col width="12"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s>
  <sheetData>
    <row r="1">
      <c r="A1" s="4" t="inlineStr">
        <is>
          <t>Current practice</t>
        </is>
      </c>
    </row>
    <row r="2">
      <c r="A2" s="14" t="inlineStr">
        <is>
          <t>Fiscal year</t>
        </is>
      </c>
      <c r="B2" s="14" t="inlineStr">
        <is>
          <t>Bridge net</t>
        </is>
      </c>
      <c r="C2" s="14" t="inlineStr">
        <is>
          <t>Bridge bal</t>
        </is>
      </c>
      <c r="D2" s="14" t="inlineStr">
        <is>
          <t>Garage net</t>
        </is>
      </c>
      <c r="E2" s="14" t="inlineStr">
        <is>
          <t>Garage bal</t>
        </is>
      </c>
      <c r="F2" s="14" t="inlineStr">
        <is>
          <t>Town Hall net</t>
        </is>
      </c>
      <c r="G2" s="14" t="inlineStr">
        <is>
          <t>Town Hall bal</t>
        </is>
      </c>
      <c r="H2" s="14" t="inlineStr">
        <is>
          <t>Courts net</t>
        </is>
      </c>
      <c r="I2" s="14" t="inlineStr">
        <is>
          <t>Courts bal</t>
        </is>
      </c>
      <c r="J2" s="14" t="inlineStr">
        <is>
          <t>A&amp;E net</t>
        </is>
      </c>
      <c r="K2" s="14" t="inlineStr">
        <is>
          <t>A&amp;E bal</t>
        </is>
      </c>
      <c r="L2" s="14" t="inlineStr">
        <is>
          <t>Paving net</t>
        </is>
      </c>
      <c r="M2" s="14" t="inlineStr">
        <is>
          <t>Paving bal</t>
        </is>
      </c>
      <c r="N2" s="14" t="inlineStr">
        <is>
          <t>Proceeds net</t>
        </is>
      </c>
      <c r="O2" s="14" t="inlineStr">
        <is>
          <t>Proceeds bal</t>
        </is>
      </c>
      <c r="P2" s="14" t="inlineStr">
        <is>
          <t>Cap Reserve net</t>
        </is>
      </c>
      <c r="Q2" s="14" t="inlineStr">
        <is>
          <t>Cap Reserve bal</t>
        </is>
      </c>
      <c r="R2" s="14" t="inlineStr">
        <is>
          <t>Reserve funds</t>
        </is>
      </c>
      <c r="S2" s="14" t="inlineStr">
        <is>
          <t>Reserve funds + bond proceeds</t>
        </is>
      </c>
    </row>
    <row r="3">
      <c r="A3" t="inlineStr">
        <is>
          <t>FY2028</t>
        </is>
      </c>
      <c r="B3" s="21">
        <f>Contributions!B3+Contributions!B20</f>
        <v>6357</v>
      </c>
      <c r="C3" s="21">
        <f>Inputs!$B$28+B3</f>
        <v>57345</v>
      </c>
      <c r="D3" s="21">
        <f>Contributions!C3+Contributions!C20</f>
        <v>-5750</v>
      </c>
      <c r="E3" s="21">
        <f>Inputs!$B$29+D3</f>
        <v>29902</v>
      </c>
      <c r="F3" s="21">
        <f>Contributions!D3+Contributions!D20</f>
        <v>10656</v>
      </c>
      <c r="G3" s="21">
        <f>Inputs!$B$30+F3</f>
        <v>104385</v>
      </c>
      <c r="H3" s="21">
        <f>Contributions!E3+Contributions!E20</f>
        <v>5129</v>
      </c>
      <c r="I3" s="21">
        <f>Inputs!$B$31+H3</f>
        <v>23595</v>
      </c>
      <c r="J3" s="21">
        <f>Contributions!F3+Contributions!F20</f>
        <v>-98047</v>
      </c>
      <c r="K3" s="21">
        <f>Inputs!$B$32+J3</f>
        <v>2416</v>
      </c>
      <c r="L3" s="21">
        <f>Contributions!G3+Contributions!G20</f>
        <v>297</v>
      </c>
      <c r="M3" s="21">
        <f>Inputs!$B$33+L3</f>
        <v>42656</v>
      </c>
      <c r="N3" s="21">
        <f>Contributions!H3+Contributions!H20</f>
        <v>1232438</v>
      </c>
      <c r="O3" s="21">
        <f>0+N3</f>
        <v>1232438</v>
      </c>
      <c r="P3" s="21">
        <f>Contributions!I3+Contributions!I20</f>
        <v>0</v>
      </c>
      <c r="Q3" s="21">
        <f>0+P3</f>
        <v>0</v>
      </c>
      <c r="R3" s="21">
        <f>C3+E3+G3+I3+K3+M3+Q3</f>
        <v>260299</v>
      </c>
      <c r="S3" s="17">
        <f>C3+E3+G3+I3+K3+M3+O3+Q3</f>
        <v>1492737</v>
      </c>
    </row>
    <row r="4">
      <c r="A4" t="inlineStr">
        <is>
          <t>FY2029</t>
        </is>
      </c>
      <c r="B4" s="21">
        <f>Contributions!B4+Contributions!B21</f>
        <v>4986</v>
      </c>
      <c r="C4" s="21">
        <f>C3+B4</f>
        <v>62331</v>
      </c>
      <c r="D4" s="21">
        <f>Contributions!C4+Contributions!C21</f>
        <v>4030</v>
      </c>
      <c r="E4" s="21">
        <f>E3+D4</f>
        <v>33932</v>
      </c>
      <c r="F4" s="21">
        <f>Contributions!D4+Contributions!D21</f>
        <v>-11628</v>
      </c>
      <c r="G4" s="21">
        <f>G3+F4</f>
        <v>92757</v>
      </c>
      <c r="H4" s="21">
        <f>Contributions!E4+Contributions!E21</f>
        <v>3986</v>
      </c>
      <c r="I4" s="21">
        <f>I3+H4</f>
        <v>27581</v>
      </c>
      <c r="J4" s="21">
        <f>Contributions!F4+Contributions!F21</f>
        <v>38225</v>
      </c>
      <c r="K4" s="21">
        <f>K3+J4</f>
        <v>40641</v>
      </c>
      <c r="L4" s="21">
        <f>Contributions!G4+Contributions!G21</f>
        <v>-6777</v>
      </c>
      <c r="M4" s="21">
        <f>M3+L4</f>
        <v>35879</v>
      </c>
      <c r="N4" s="21">
        <f>Contributions!H4+Contributions!H21</f>
        <v>8627</v>
      </c>
      <c r="O4" s="21">
        <f>O3+N4</f>
        <v>1241065</v>
      </c>
      <c r="P4" s="21">
        <f>Contributions!I4+Contributions!I21</f>
        <v>0</v>
      </c>
      <c r="Q4" s="21">
        <f>Q3+P4</f>
        <v>0</v>
      </c>
      <c r="R4" s="21">
        <f>C4+E4+G4+I4+K4+M4+Q4</f>
        <v>293121</v>
      </c>
      <c r="S4" s="17">
        <f>C4+E4+G4+I4+K4+M4+O4+Q4</f>
        <v>1534186</v>
      </c>
    </row>
    <row r="5">
      <c r="A5" t="inlineStr">
        <is>
          <t>FY2030</t>
        </is>
      </c>
      <c r="B5" s="21">
        <f>Contributions!B5+Contributions!B22</f>
        <v>6437</v>
      </c>
      <c r="C5" s="21">
        <f>C4+B5</f>
        <v>68768</v>
      </c>
      <c r="D5" s="21">
        <f>Contributions!C5+Contributions!C22</f>
        <v>5237</v>
      </c>
      <c r="E5" s="21">
        <f>E4+D5</f>
        <v>39169</v>
      </c>
      <c r="F5" s="21">
        <f>Contributions!D5+Contributions!D22</f>
        <v>-14350</v>
      </c>
      <c r="G5" s="21">
        <f>G4+F5</f>
        <v>78407</v>
      </c>
      <c r="H5" s="21">
        <f>Contributions!E5+Contributions!E22</f>
        <v>5193</v>
      </c>
      <c r="I5" s="21">
        <f>I4+H5</f>
        <v>32774</v>
      </c>
      <c r="J5" s="21">
        <f>Contributions!F5+Contributions!F22</f>
        <v>50284</v>
      </c>
      <c r="K5" s="21">
        <f>K4+J5</f>
        <v>90925</v>
      </c>
      <c r="L5" s="21">
        <f>Contributions!G5+Contributions!G22</f>
        <v>251</v>
      </c>
      <c r="M5" s="21">
        <f>M4+L5</f>
        <v>36130</v>
      </c>
      <c r="N5" s="21">
        <f>Contributions!H5+Contributions!H22</f>
        <v>-794203</v>
      </c>
      <c r="O5" s="21">
        <f>O4+N5</f>
        <v>446862</v>
      </c>
      <c r="P5" s="21">
        <f>Contributions!I5+Contributions!I22</f>
        <v>0</v>
      </c>
      <c r="Q5" s="21">
        <f>Q4+P5</f>
        <v>0</v>
      </c>
      <c r="R5" s="21">
        <f>C5+E5+G5+I5+K5+M5+Q5</f>
        <v>346173</v>
      </c>
      <c r="S5" s="17">
        <f>C5+E5+G5+I5+K5+M5+O5+Q5</f>
        <v>793035</v>
      </c>
    </row>
    <row r="6">
      <c r="A6" t="inlineStr">
        <is>
          <t>FY2031</t>
        </is>
      </c>
      <c r="B6" s="21">
        <f>Contributions!B6+Contributions!B23</f>
        <v>5066</v>
      </c>
      <c r="C6" s="21">
        <f>C5+B6</f>
        <v>73834</v>
      </c>
      <c r="D6" s="21">
        <f>Contributions!C6+Contributions!C23</f>
        <v>4095</v>
      </c>
      <c r="E6" s="21">
        <f>E5+D6</f>
        <v>43264</v>
      </c>
      <c r="F6" s="21">
        <f>Contributions!D6+Contributions!D23</f>
        <v>-11810</v>
      </c>
      <c r="G6" s="21">
        <f>G5+F6</f>
        <v>66597</v>
      </c>
      <c r="H6" s="21">
        <f>Contributions!E6+Contributions!E23</f>
        <v>4050</v>
      </c>
      <c r="I6" s="21">
        <f>I5+H6</f>
        <v>36824</v>
      </c>
      <c r="J6" s="21">
        <f>Contributions!F6+Contributions!F23</f>
        <v>38844</v>
      </c>
      <c r="K6" s="21">
        <f>K5+J6</f>
        <v>129769</v>
      </c>
      <c r="L6" s="21">
        <f>Contributions!G6+Contributions!G23</f>
        <v>-6823</v>
      </c>
      <c r="M6" s="21">
        <f>M5+L6</f>
        <v>29307</v>
      </c>
      <c r="N6" s="21">
        <f>Contributions!H6+Contributions!H23</f>
        <v>-426419</v>
      </c>
      <c r="O6" s="21">
        <f>O5+N6</f>
        <v>20443</v>
      </c>
      <c r="P6" s="21">
        <f>Contributions!I6+Contributions!I23</f>
        <v>0</v>
      </c>
      <c r="Q6" s="21">
        <f>Q5+P6</f>
        <v>0</v>
      </c>
      <c r="R6" s="21">
        <f>C6+E6+G6+I6+K6+M6+Q6</f>
        <v>379595</v>
      </c>
      <c r="S6" s="17">
        <f>C6+E6+G6+I6+K6+M6+O6+Q6</f>
        <v>400038</v>
      </c>
    </row>
    <row r="7">
      <c r="A7" t="inlineStr">
        <is>
          <t>FY2032</t>
        </is>
      </c>
      <c r="B7" s="21">
        <f>Contributions!B7+Contributions!B24</f>
        <v>6517</v>
      </c>
      <c r="C7" s="21">
        <f>C6+B7</f>
        <v>80351</v>
      </c>
      <c r="D7" s="21">
        <f>Contributions!C7+Contributions!C24</f>
        <v>5303</v>
      </c>
      <c r="E7" s="21">
        <f>E6+D7</f>
        <v>48567</v>
      </c>
      <c r="F7" s="21">
        <f>Contributions!D7+Contributions!D24</f>
        <v>-18534</v>
      </c>
      <c r="G7" s="21">
        <f>G6+F7</f>
        <v>48063</v>
      </c>
      <c r="H7" s="21">
        <f>Contributions!E7+Contributions!E24</f>
        <v>5258</v>
      </c>
      <c r="I7" s="21">
        <f>I6+H7</f>
        <v>42082</v>
      </c>
      <c r="J7" s="21">
        <f>Contributions!F7+Contributions!F24</f>
        <v>50909</v>
      </c>
      <c r="K7" s="21">
        <f>K6+J7</f>
        <v>180678</v>
      </c>
      <c r="L7" s="21">
        <f>Contributions!G7+Contributions!G24</f>
        <v>205</v>
      </c>
      <c r="M7" s="21">
        <f>M6+L7</f>
        <v>29512</v>
      </c>
      <c r="N7" s="21">
        <f>Contributions!H7+Contributions!H24</f>
        <v>143</v>
      </c>
      <c r="O7" s="21">
        <f>O6+N7</f>
        <v>20586</v>
      </c>
      <c r="P7" s="21">
        <f>Contributions!I7+Contributions!I24</f>
        <v>0</v>
      </c>
      <c r="Q7" s="21">
        <f>Q6+P7</f>
        <v>0</v>
      </c>
      <c r="R7" s="21">
        <f>C7+E7+G7+I7+K7+M7+Q7</f>
        <v>429253</v>
      </c>
      <c r="S7" s="17">
        <f>C7+E7+G7+I7+K7+M7+O7+Q7</f>
        <v>449839</v>
      </c>
    </row>
    <row r="8">
      <c r="A8" t="inlineStr">
        <is>
          <t>FY2033</t>
        </is>
      </c>
      <c r="B8" s="21">
        <f>Contributions!B8+Contributions!B25</f>
        <v>5147</v>
      </c>
      <c r="C8" s="21">
        <f>C7+B8</f>
        <v>85498</v>
      </c>
      <c r="D8" s="21">
        <f>Contributions!C8+Contributions!C25</f>
        <v>-4339</v>
      </c>
      <c r="E8" s="21">
        <f>E7+D8</f>
        <v>44228</v>
      </c>
      <c r="F8" s="21">
        <f>Contributions!D8+Contributions!D25</f>
        <v>7978</v>
      </c>
      <c r="G8" s="21">
        <f>G7+F8</f>
        <v>56041</v>
      </c>
      <c r="H8" s="21">
        <f>Contributions!E8+Contributions!E25</f>
        <v>4116</v>
      </c>
      <c r="I8" s="21">
        <f>I7+H8</f>
        <v>46198</v>
      </c>
      <c r="J8" s="21">
        <f>Contributions!F8+Contributions!F25</f>
        <v>39472</v>
      </c>
      <c r="K8" s="21">
        <f>K7+J8</f>
        <v>220150</v>
      </c>
      <c r="L8" s="21">
        <f>Contributions!G8+Contributions!G25</f>
        <v>-6869</v>
      </c>
      <c r="M8" s="21">
        <f>M7+L8</f>
        <v>22643</v>
      </c>
      <c r="N8" s="21">
        <f>Contributions!H8+Contributions!H25</f>
        <v>144</v>
      </c>
      <c r="O8" s="21">
        <f>O7+N8</f>
        <v>20730</v>
      </c>
      <c r="P8" s="21">
        <f>Contributions!I8+Contributions!I25</f>
        <v>0</v>
      </c>
      <c r="Q8" s="21">
        <f>Q7+P8</f>
        <v>0</v>
      </c>
      <c r="R8" s="21">
        <f>C8+E8+G8+I8+K8+M8+Q8</f>
        <v>474758</v>
      </c>
      <c r="S8" s="17">
        <f>C8+E8+G8+I8+K8+M8+O8+Q8</f>
        <v>495488</v>
      </c>
    </row>
    <row r="9">
      <c r="A9" t="inlineStr">
        <is>
          <t>FY2034</t>
        </is>
      </c>
      <c r="B9" s="21">
        <f>Contributions!B9+Contributions!B26</f>
        <v>6599</v>
      </c>
      <c r="C9" s="21">
        <f>C8+B9</f>
        <v>92097</v>
      </c>
      <c r="D9" s="21">
        <f>Contributions!C9+Contributions!C26</f>
        <v>5309</v>
      </c>
      <c r="E9" s="21">
        <f>E8+D9</f>
        <v>49537</v>
      </c>
      <c r="F9" s="21">
        <f>Contributions!D9+Contributions!D26</f>
        <v>10392</v>
      </c>
      <c r="G9" s="21">
        <f>G8+F9</f>
        <v>66433</v>
      </c>
      <c r="H9" s="21">
        <f>Contributions!E9+Contributions!E26</f>
        <v>5323</v>
      </c>
      <c r="I9" s="21">
        <f>I8+H9</f>
        <v>51521</v>
      </c>
      <c r="J9" s="21">
        <f>Contributions!F9+Contributions!F26</f>
        <v>51541</v>
      </c>
      <c r="K9" s="21">
        <f>K8+J9</f>
        <v>271691</v>
      </c>
      <c r="L9" s="21">
        <f>Contributions!G9+Contributions!G26</f>
        <v>159</v>
      </c>
      <c r="M9" s="21">
        <f>M8+L9</f>
        <v>22802</v>
      </c>
      <c r="N9" s="21">
        <f>Contributions!H9+Contributions!H26</f>
        <v>145</v>
      </c>
      <c r="O9" s="21">
        <f>O8+N9</f>
        <v>20875</v>
      </c>
      <c r="P9" s="21">
        <f>Contributions!I9+Contributions!I26</f>
        <v>0</v>
      </c>
      <c r="Q9" s="21">
        <f>Q8+P9</f>
        <v>0</v>
      </c>
      <c r="R9" s="21">
        <f>C9+E9+G9+I9+K9+M9+Q9</f>
        <v>554081</v>
      </c>
      <c r="S9" s="17">
        <f>C9+E9+G9+I9+K9+M9+O9+Q9</f>
        <v>574956</v>
      </c>
    </row>
    <row r="10">
      <c r="A10" t="inlineStr">
        <is>
          <t>FY2035</t>
        </is>
      </c>
      <c r="B10" s="21">
        <f>Contributions!B10+Contributions!B27</f>
        <v>5229</v>
      </c>
      <c r="C10" s="21">
        <f>C9+B10</f>
        <v>97326</v>
      </c>
      <c r="D10" s="21">
        <f>Contributions!C10+Contributions!C27</f>
        <v>4168</v>
      </c>
      <c r="E10" s="21">
        <f>E9+D10</f>
        <v>53705</v>
      </c>
      <c r="F10" s="21">
        <f>Contributions!D10+Contributions!D27</f>
        <v>-11893</v>
      </c>
      <c r="G10" s="21">
        <f>G9+F10</f>
        <v>54540</v>
      </c>
      <c r="H10" s="21">
        <f>Contributions!E10+Contributions!E27</f>
        <v>4181</v>
      </c>
      <c r="I10" s="21">
        <f>I9+H10</f>
        <v>55702</v>
      </c>
      <c r="J10" s="21">
        <f>Contributions!F10+Contributions!F27</f>
        <v>-206391</v>
      </c>
      <c r="K10" s="21">
        <f>K9+J10</f>
        <v>65300</v>
      </c>
      <c r="L10" s="21">
        <f>Contributions!G10+Contributions!G27</f>
        <v>-6916</v>
      </c>
      <c r="M10" s="21">
        <f>M9+L10</f>
        <v>15886</v>
      </c>
      <c r="N10" s="21">
        <f>Contributions!H10+Contributions!H27</f>
        <v>146</v>
      </c>
      <c r="O10" s="21">
        <f>O9+N10</f>
        <v>21021</v>
      </c>
      <c r="P10" s="21">
        <f>Contributions!I10+Contributions!I27</f>
        <v>0</v>
      </c>
      <c r="Q10" s="21">
        <f>Q9+P10</f>
        <v>0</v>
      </c>
      <c r="R10" s="21">
        <f>C10+E10+G10+I10+K10+M10+Q10</f>
        <v>342459</v>
      </c>
      <c r="S10" s="17">
        <f>C10+E10+G10+I10+K10+M10+O10+Q10</f>
        <v>363480</v>
      </c>
    </row>
    <row r="11">
      <c r="A11" t="inlineStr">
        <is>
          <t>FY2036</t>
        </is>
      </c>
      <c r="B11" s="21">
        <f>Contributions!B11+Contributions!B28</f>
        <v>6681</v>
      </c>
      <c r="C11" s="21">
        <f>C10+B11</f>
        <v>104007</v>
      </c>
      <c r="D11" s="21">
        <f>Contributions!C11+Contributions!C28</f>
        <v>5376</v>
      </c>
      <c r="E11" s="21">
        <f>E10+D11</f>
        <v>59081</v>
      </c>
      <c r="F11" s="21">
        <f>Contributions!D11+Contributions!D28</f>
        <v>10382</v>
      </c>
      <c r="G11" s="21">
        <f>G10+F11</f>
        <v>64922</v>
      </c>
      <c r="H11" s="21">
        <f>Contributions!E11+Contributions!E28</f>
        <v>5390</v>
      </c>
      <c r="I11" s="21">
        <f>I10+H11</f>
        <v>61092</v>
      </c>
      <c r="J11" s="21">
        <f>Contributions!F11+Contributions!F28</f>
        <v>50457</v>
      </c>
      <c r="K11" s="21">
        <f>K10+J11</f>
        <v>115757</v>
      </c>
      <c r="L11" s="21">
        <f>Contributions!G11+Contributions!G28</f>
        <v>111</v>
      </c>
      <c r="M11" s="21">
        <f>M10+L11</f>
        <v>15997</v>
      </c>
      <c r="N11" s="21">
        <f>Contributions!H11+Contributions!H28</f>
        <v>147</v>
      </c>
      <c r="O11" s="21">
        <f>O10+N11</f>
        <v>21168</v>
      </c>
      <c r="P11" s="21">
        <f>Contributions!I11+Contributions!I28</f>
        <v>0</v>
      </c>
      <c r="Q11" s="21">
        <f>Q10+P11</f>
        <v>0</v>
      </c>
      <c r="R11" s="21">
        <f>C11+E11+G11+I11+K11+M11+Q11</f>
        <v>420856</v>
      </c>
      <c r="S11" s="17">
        <f>C11+E11+G11+I11+K11+M11+O11+Q11</f>
        <v>442024</v>
      </c>
    </row>
    <row r="12">
      <c r="A12" t="inlineStr">
        <is>
          <t>FY2037</t>
        </is>
      </c>
      <c r="B12" s="21">
        <f>Contributions!B12+Contributions!B29</f>
        <v>5313</v>
      </c>
      <c r="C12" s="21">
        <f>C11+B12</f>
        <v>109320</v>
      </c>
      <c r="D12" s="21">
        <f>Contributions!C12+Contributions!C29</f>
        <v>4234</v>
      </c>
      <c r="E12" s="21">
        <f>E11+D12</f>
        <v>63315</v>
      </c>
      <c r="F12" s="21">
        <f>Contributions!D12+Contributions!D29</f>
        <v>-3904</v>
      </c>
      <c r="G12" s="21">
        <f>G11+F12</f>
        <v>61018</v>
      </c>
      <c r="H12" s="21">
        <f>Contributions!E12+Contributions!E29</f>
        <v>4249</v>
      </c>
      <c r="I12" s="21">
        <f>I11+H12</f>
        <v>65341</v>
      </c>
      <c r="J12" s="21">
        <f>Contributions!F12+Contributions!F29</f>
        <v>-28982</v>
      </c>
      <c r="K12" s="21">
        <f>K11+J12</f>
        <v>86775</v>
      </c>
      <c r="L12" s="21">
        <f>Contributions!G12+Contributions!G29</f>
        <v>-6963</v>
      </c>
      <c r="M12" s="21">
        <f>M11+L12</f>
        <v>9034</v>
      </c>
      <c r="N12" s="21">
        <f>Contributions!H12+Contributions!H29</f>
        <v>148</v>
      </c>
      <c r="O12" s="21">
        <f>O11+N12</f>
        <v>21316</v>
      </c>
      <c r="P12" s="21">
        <f>Contributions!I12+Contributions!I29</f>
        <v>0</v>
      </c>
      <c r="Q12" s="21">
        <f>Q11+P12</f>
        <v>0</v>
      </c>
      <c r="R12" s="21">
        <f>C12+E12+G12+I12+K12+M12+Q12</f>
        <v>394803</v>
      </c>
      <c r="S12" s="17">
        <f>C12+E12+G12+I12+K12+M12+O12+Q12</f>
        <v>416119</v>
      </c>
    </row>
    <row r="13">
      <c r="A13" t="inlineStr">
        <is>
          <t>FY2038</t>
        </is>
      </c>
      <c r="B13" s="21">
        <f>Contributions!B13+Contributions!B30</f>
        <v>6766</v>
      </c>
      <c r="C13" s="21">
        <f>C12+B13</f>
        <v>116086</v>
      </c>
      <c r="D13" s="21">
        <f>Contributions!C13+Contributions!C30</f>
        <v>5443</v>
      </c>
      <c r="E13" s="21">
        <f>E12+D13</f>
        <v>68758</v>
      </c>
      <c r="F13" s="21">
        <f>Contributions!D13+Contributions!D30</f>
        <v>10427</v>
      </c>
      <c r="G13" s="21">
        <f>G12+F13</f>
        <v>71445</v>
      </c>
      <c r="H13" s="21">
        <f>Contributions!E13+Contributions!E30</f>
        <v>5457</v>
      </c>
      <c r="I13" s="21">
        <f>I12+H13</f>
        <v>70798</v>
      </c>
      <c r="J13" s="21">
        <f>Contributions!F13+Contributions!F30</f>
        <v>50608</v>
      </c>
      <c r="K13" s="21">
        <f>K12+J13</f>
        <v>137383</v>
      </c>
      <c r="L13" s="21">
        <f>Contributions!G13+Contributions!G30</f>
        <v>63</v>
      </c>
      <c r="M13" s="21">
        <f>M12+L13</f>
        <v>9097</v>
      </c>
      <c r="N13" s="21">
        <f>Contributions!H13+Contributions!H30</f>
        <v>150</v>
      </c>
      <c r="O13" s="21">
        <f>O12+N13</f>
        <v>21466</v>
      </c>
      <c r="P13" s="21">
        <f>Contributions!I13+Contributions!I30</f>
        <v>0</v>
      </c>
      <c r="Q13" s="21">
        <f>Q12+P13</f>
        <v>0</v>
      </c>
      <c r="R13" s="21">
        <f>C13+E13+G13+I13+K13+M13+Q13</f>
        <v>473567</v>
      </c>
      <c r="S13" s="17">
        <f>C13+E13+G13+I13+K13+M13+O13+Q13</f>
        <v>495033</v>
      </c>
    </row>
    <row r="14">
      <c r="A14" t="inlineStr">
        <is>
          <t>FY2039</t>
        </is>
      </c>
      <c r="B14" s="21">
        <f>Contributions!B14+Contributions!B31</f>
        <v>5397</v>
      </c>
      <c r="C14" s="21">
        <f>C13+B14</f>
        <v>121483</v>
      </c>
      <c r="D14" s="21">
        <f>Contributions!C14+Contributions!C31</f>
        <v>4302</v>
      </c>
      <c r="E14" s="21">
        <f>E13+D14</f>
        <v>73060</v>
      </c>
      <c r="F14" s="21">
        <f>Contributions!D14+Contributions!D31</f>
        <v>8141</v>
      </c>
      <c r="G14" s="21">
        <f>G13+F14</f>
        <v>79586</v>
      </c>
      <c r="H14" s="21">
        <f>Contributions!E14+Contributions!E31</f>
        <v>4316</v>
      </c>
      <c r="I14" s="21">
        <f>I13+H14</f>
        <v>75114</v>
      </c>
      <c r="J14" s="21">
        <f>Contributions!F14+Contributions!F31</f>
        <v>39169</v>
      </c>
      <c r="K14" s="21">
        <f>K13+J14</f>
        <v>176552</v>
      </c>
      <c r="L14" s="21">
        <f>Contributions!G14+Contributions!G31</f>
        <v>-7012</v>
      </c>
      <c r="M14" s="21">
        <f>M13+L14</f>
        <v>2085</v>
      </c>
      <c r="N14" s="21">
        <f>Contributions!H14+Contributions!H31</f>
        <v>150</v>
      </c>
      <c r="O14" s="21">
        <f>O13+N14</f>
        <v>21616</v>
      </c>
      <c r="P14" s="21">
        <f>Contributions!I14+Contributions!I31</f>
        <v>0</v>
      </c>
      <c r="Q14" s="21">
        <f>Q13+P14</f>
        <v>0</v>
      </c>
      <c r="R14" s="21">
        <f>C14+E14+G14+I14+K14+M14+Q14</f>
        <v>527880</v>
      </c>
      <c r="S14" s="17">
        <f>C14+E14+G14+I14+K14+M14+O14+Q14</f>
        <v>549496</v>
      </c>
    </row>
    <row r="15">
      <c r="A15" t="inlineStr">
        <is>
          <t>FY2040</t>
        </is>
      </c>
      <c r="B15" s="21">
        <f>Contributions!B15+Contributions!B32</f>
        <v>6850</v>
      </c>
      <c r="C15" s="21">
        <f>C14+B15</f>
        <v>128333</v>
      </c>
      <c r="D15" s="21">
        <f>Contributions!C15+Contributions!C32</f>
        <v>5512</v>
      </c>
      <c r="E15" s="21">
        <f>E14+D15</f>
        <v>78572</v>
      </c>
      <c r="F15" s="21">
        <f>Contributions!D15+Contributions!D32</f>
        <v>10558</v>
      </c>
      <c r="G15" s="21">
        <f>G14+F15</f>
        <v>90144</v>
      </c>
      <c r="H15" s="21">
        <f>Contributions!E15+Contributions!E32</f>
        <v>5526</v>
      </c>
      <c r="I15" s="21">
        <f>I14+H15</f>
        <v>80640</v>
      </c>
      <c r="J15" s="21">
        <f>Contributions!F15+Contributions!F32</f>
        <v>-118764</v>
      </c>
      <c r="K15" s="21">
        <f>K14+J15</f>
        <v>57788</v>
      </c>
      <c r="L15" s="21">
        <f>Contributions!G15+Contributions!G32</f>
        <v>15</v>
      </c>
      <c r="M15" s="21">
        <f>M14+L15</f>
        <v>2100</v>
      </c>
      <c r="N15" s="21">
        <f>Contributions!H15+Contributions!H32</f>
        <v>151</v>
      </c>
      <c r="O15" s="21">
        <f>O14+N15</f>
        <v>21767</v>
      </c>
      <c r="P15" s="21">
        <f>Contributions!I15+Contributions!I32</f>
        <v>0</v>
      </c>
      <c r="Q15" s="21">
        <f>Q14+P15</f>
        <v>0</v>
      </c>
      <c r="R15" s="21">
        <f>C15+E15+G15+I15+K15+M15+Q15</f>
        <v>437577</v>
      </c>
      <c r="S15" s="17">
        <f>C15+E15+G15+I15+K15+M15+O15+Q15</f>
        <v>459344</v>
      </c>
    </row>
    <row r="16">
      <c r="A16" t="inlineStr">
        <is>
          <t>FY2041</t>
        </is>
      </c>
      <c r="B16" s="21">
        <f>Contributions!B16+Contributions!B33</f>
        <v>5484</v>
      </c>
      <c r="C16" s="21">
        <f>C15+B16</f>
        <v>133817</v>
      </c>
      <c r="D16" s="21">
        <f>Contributions!C16+Contributions!C33</f>
        <v>4370</v>
      </c>
      <c r="E16" s="21">
        <f>E15+D16</f>
        <v>82942</v>
      </c>
      <c r="F16" s="21">
        <f>Contributions!D16+Contributions!D33</f>
        <v>8272</v>
      </c>
      <c r="G16" s="21">
        <f>G15+F16</f>
        <v>98416</v>
      </c>
      <c r="H16" s="21">
        <f>Contributions!E16+Contributions!E33</f>
        <v>4385</v>
      </c>
      <c r="I16" s="21">
        <f>I15+H16</f>
        <v>85025</v>
      </c>
      <c r="J16" s="21">
        <f>Contributions!F16+Contributions!F33</f>
        <v>38612</v>
      </c>
      <c r="K16" s="21">
        <f>K15+J16</f>
        <v>96400</v>
      </c>
      <c r="L16" s="21">
        <f>Contributions!G16+Contributions!G33</f>
        <v>-7061</v>
      </c>
      <c r="M16" s="21">
        <f>M15+L16</f>
        <v>-4961</v>
      </c>
      <c r="N16" s="21">
        <f>Contributions!H16+Contributions!H33</f>
        <v>152</v>
      </c>
      <c r="O16" s="21">
        <f>O15+N16</f>
        <v>21919</v>
      </c>
      <c r="P16" s="21">
        <f>Contributions!I16+Contributions!I33</f>
        <v>0</v>
      </c>
      <c r="Q16" s="21">
        <f>Q15+P16</f>
        <v>0</v>
      </c>
      <c r="R16" s="21">
        <f>C16+E16+G16+I16+K16+M16+Q16</f>
        <v>491639</v>
      </c>
      <c r="S16" s="17">
        <f>C16+E16+G16+I16+K16+M16+O16+Q16</f>
        <v>513558</v>
      </c>
    </row>
    <row r="17">
      <c r="A17" t="inlineStr">
        <is>
          <t>FY2042</t>
        </is>
      </c>
      <c r="B17" s="21">
        <f>Contributions!B17+Contributions!B34</f>
        <v>6936</v>
      </c>
      <c r="C17" s="21">
        <f>C16+B17</f>
        <v>140753</v>
      </c>
      <c r="D17" s="21">
        <f>Contributions!C17+Contributions!C34</f>
        <v>5581</v>
      </c>
      <c r="E17" s="21">
        <f>E16+D17</f>
        <v>88523</v>
      </c>
      <c r="F17" s="21">
        <f>Contributions!D17+Contributions!D34</f>
        <v>-14311</v>
      </c>
      <c r="G17" s="21">
        <f>G16+F17</f>
        <v>84105</v>
      </c>
      <c r="H17" s="21">
        <f>Contributions!E17+Contributions!E34</f>
        <v>5596</v>
      </c>
      <c r="I17" s="21">
        <f>I16+H17</f>
        <v>90621</v>
      </c>
      <c r="J17" s="21">
        <f>Contributions!F17+Contributions!F34</f>
        <v>50675</v>
      </c>
      <c r="K17" s="21">
        <f>K16+J17</f>
        <v>147075</v>
      </c>
      <c r="L17" s="21">
        <f>Contributions!G17+Contributions!G34</f>
        <v>0</v>
      </c>
      <c r="M17" s="21">
        <f>M16+L17</f>
        <v>-4961</v>
      </c>
      <c r="N17" s="21">
        <f>Contributions!H17+Contributions!H34</f>
        <v>154</v>
      </c>
      <c r="O17" s="21">
        <f>O16+N17</f>
        <v>22073</v>
      </c>
      <c r="P17" s="21">
        <f>Contributions!I17+Contributions!I34</f>
        <v>0</v>
      </c>
      <c r="Q17" s="21">
        <f>Q16+P17</f>
        <v>0</v>
      </c>
      <c r="R17" s="21">
        <f>C17+E17+G17+I17+K17+M17+Q17</f>
        <v>546116</v>
      </c>
      <c r="S17" s="17">
        <f>C17+E17+G17+I17+K17+M17+O17+Q17</f>
        <v>568189</v>
      </c>
    </row>
    <row r="18">
      <c r="A18" s="16" t="inlineStr">
        <is>
          <t>Min balance</t>
        </is>
      </c>
      <c r="C18" s="21">
        <f>MIN(C3:C17)</f>
        <v>57345</v>
      </c>
      <c r="E18" s="21">
        <f>MIN(E3:E17)</f>
        <v>29902</v>
      </c>
      <c r="G18" s="21">
        <f>MIN(G3:G17)</f>
        <v>48063</v>
      </c>
      <c r="I18" s="21">
        <f>MIN(I3:I17)</f>
        <v>23595</v>
      </c>
      <c r="K18" s="21">
        <f>MIN(K3:K17)</f>
        <v>2416</v>
      </c>
      <c r="M18" s="21">
        <f>MIN(M3:M17)</f>
        <v>-4961</v>
      </c>
      <c r="O18" s="21">
        <f>MIN(O3:O17)</f>
        <v>20443</v>
      </c>
      <c r="Q18" s="21">
        <f>MIN(Q3:Q17)</f>
        <v>0</v>
      </c>
      <c r="S18" s="17">
        <f>MIN(C18,E18,G18,I18,K18,M18,O18,Q18)</f>
        <v>-4961</v>
      </c>
    </row>
    <row r="19">
      <c r="B19" s="6" t="inlineStr">
        <is>
          <t>small purchases (≤$15,000) are cash-flowed in-fund; a dip is a payable within a −$15,000 tolerance, never new borrowing — the Summary check row flags anything beyond it</t>
        </is>
      </c>
    </row>
    <row r="20">
      <c r="A20" s="4" t="inlineStr">
        <is>
          <t>Save $50,000 more a year</t>
        </is>
      </c>
    </row>
    <row r="21">
      <c r="A21" s="14" t="inlineStr">
        <is>
          <t>Fiscal year</t>
        </is>
      </c>
      <c r="B21" s="14" t="inlineStr">
        <is>
          <t>Bridge net</t>
        </is>
      </c>
      <c r="C21" s="14" t="inlineStr">
        <is>
          <t>Bridge bal</t>
        </is>
      </c>
      <c r="D21" s="14" t="inlineStr">
        <is>
          <t>Garage net</t>
        </is>
      </c>
      <c r="E21" s="14" t="inlineStr">
        <is>
          <t>Garage bal</t>
        </is>
      </c>
      <c r="F21" s="14" t="inlineStr">
        <is>
          <t>Town Hall net</t>
        </is>
      </c>
      <c r="G21" s="14" t="inlineStr">
        <is>
          <t>Town Hall bal</t>
        </is>
      </c>
      <c r="H21" s="14" t="inlineStr">
        <is>
          <t>Courts net</t>
        </is>
      </c>
      <c r="I21" s="14" t="inlineStr">
        <is>
          <t>Courts bal</t>
        </is>
      </c>
      <c r="J21" s="14" t="inlineStr">
        <is>
          <t>A&amp;E net</t>
        </is>
      </c>
      <c r="K21" s="14" t="inlineStr">
        <is>
          <t>A&amp;E bal</t>
        </is>
      </c>
      <c r="L21" s="14" t="inlineStr">
        <is>
          <t>Paving net</t>
        </is>
      </c>
      <c r="M21" s="14" t="inlineStr">
        <is>
          <t>Paving bal</t>
        </is>
      </c>
      <c r="N21" s="14" t="inlineStr">
        <is>
          <t>Proceeds net</t>
        </is>
      </c>
      <c r="O21" s="14" t="inlineStr">
        <is>
          <t>Proceeds bal</t>
        </is>
      </c>
      <c r="P21" s="14" t="inlineStr">
        <is>
          <t>Cap Reserve net</t>
        </is>
      </c>
      <c r="Q21" s="14" t="inlineStr">
        <is>
          <t>Cap Reserve bal</t>
        </is>
      </c>
      <c r="R21" s="14" t="inlineStr">
        <is>
          <t>Reserve funds</t>
        </is>
      </c>
      <c r="S21" s="14" t="inlineStr">
        <is>
          <t>Reserve funds + bond proceeds</t>
        </is>
      </c>
    </row>
    <row r="22">
      <c r="A22" t="inlineStr">
        <is>
          <t>FY2028</t>
        </is>
      </c>
      <c r="B22" s="21">
        <f>Contributions!B38+Contributions!B55</f>
        <v>357</v>
      </c>
      <c r="C22" s="21">
        <f>Inputs!$B$28+B22</f>
        <v>51345</v>
      </c>
      <c r="D22" s="21">
        <f>Contributions!C38+Contributions!C55</f>
        <v>-10750</v>
      </c>
      <c r="E22" s="21">
        <f>Inputs!$B$29+D22</f>
        <v>24902</v>
      </c>
      <c r="F22" s="21">
        <f>Contributions!D38+Contributions!D55</f>
        <v>656</v>
      </c>
      <c r="G22" s="21">
        <f>Inputs!$B$30+F22</f>
        <v>94385</v>
      </c>
      <c r="H22" s="21">
        <f>Contributions!E38+Contributions!E55</f>
        <v>129</v>
      </c>
      <c r="I22" s="21">
        <f>Inputs!$B$31+H22</f>
        <v>18595</v>
      </c>
      <c r="J22" s="21">
        <f>Contributions!F38+Contributions!F55</f>
        <v>-100463</v>
      </c>
      <c r="K22" s="21">
        <f>Inputs!$B$32+J22</f>
        <v>0</v>
      </c>
      <c r="L22" s="21">
        <f>Contributions!G38+Contributions!G55</f>
        <v>-42359</v>
      </c>
      <c r="M22" s="21">
        <f>Inputs!$B$33+L22</f>
        <v>0</v>
      </c>
      <c r="N22" s="21">
        <f>Contributions!H38+Contributions!H55</f>
        <v>1106438</v>
      </c>
      <c r="O22" s="21">
        <f>0+N22</f>
        <v>1106438</v>
      </c>
      <c r="P22" s="21">
        <f>Contributions!I38+Contributions!I55</f>
        <v>0</v>
      </c>
      <c r="Q22" s="21">
        <f>0+P22</f>
        <v>0</v>
      </c>
      <c r="R22" s="21">
        <f>C22+E22+G22+I22+K22+M22+Q22</f>
        <v>189227</v>
      </c>
      <c r="S22" s="17">
        <f>C22+E22+G22+I22+K22+M22+O22+Q22</f>
        <v>1295665</v>
      </c>
    </row>
    <row r="23">
      <c r="A23" t="inlineStr">
        <is>
          <t>FY2029</t>
        </is>
      </c>
      <c r="B23" s="21">
        <f>Contributions!B39+Contributions!B56</f>
        <v>359</v>
      </c>
      <c r="C23" s="21">
        <f>C22+B23</f>
        <v>51704</v>
      </c>
      <c r="D23" s="21">
        <f>Contributions!C39+Contributions!C56</f>
        <v>174</v>
      </c>
      <c r="E23" s="21">
        <f>E22+D23</f>
        <v>25076</v>
      </c>
      <c r="F23" s="21">
        <f>Contributions!D39+Contributions!D56</f>
        <v>-19339</v>
      </c>
      <c r="G23" s="21">
        <f>G22+F23</f>
        <v>75046</v>
      </c>
      <c r="H23" s="21">
        <f>Contributions!E39+Contributions!E56</f>
        <v>130</v>
      </c>
      <c r="I23" s="21">
        <f>I22+H23</f>
        <v>18725</v>
      </c>
      <c r="J23" s="21">
        <f>Contributions!F39+Contributions!F56</f>
        <v>0</v>
      </c>
      <c r="K23" s="21">
        <f>K22+J23</f>
        <v>0</v>
      </c>
      <c r="L23" s="21">
        <f>Contributions!G39+Contributions!G56</f>
        <v>0</v>
      </c>
      <c r="M23" s="21">
        <f>M22+L23</f>
        <v>0</v>
      </c>
      <c r="N23" s="21">
        <f>Contributions!H39+Contributions!H56</f>
        <v>7746</v>
      </c>
      <c r="O23" s="21">
        <f>O22+N23</f>
        <v>1114184</v>
      </c>
      <c r="P23" s="21">
        <f>Contributions!I39+Contributions!I56</f>
        <v>0</v>
      </c>
      <c r="Q23" s="21">
        <f>Q22+P23</f>
        <v>0</v>
      </c>
      <c r="R23" s="21">
        <f>C23+E23+G23+I23+K23+M23+Q23</f>
        <v>170551</v>
      </c>
      <c r="S23" s="17">
        <f>C23+E23+G23+I23+K23+M23+O23+Q23</f>
        <v>1284735</v>
      </c>
    </row>
    <row r="24">
      <c r="A24" t="inlineStr">
        <is>
          <t>FY2030</t>
        </is>
      </c>
      <c r="B24" s="21">
        <f>Contributions!B40+Contributions!B57</f>
        <v>362</v>
      </c>
      <c r="C24" s="21">
        <f>C23+B24</f>
        <v>52066</v>
      </c>
      <c r="D24" s="21">
        <f>Contributions!C40+Contributions!C57</f>
        <v>175</v>
      </c>
      <c r="E24" s="21">
        <f>E23+D24</f>
        <v>25251</v>
      </c>
      <c r="F24" s="21">
        <f>Contributions!D40+Contributions!D57</f>
        <v>-24475</v>
      </c>
      <c r="G24" s="21">
        <f>G23+F24</f>
        <v>50571</v>
      </c>
      <c r="H24" s="21">
        <f>Contributions!E40+Contributions!E57</f>
        <v>132</v>
      </c>
      <c r="I24" s="21">
        <f>I23+H24</f>
        <v>18857</v>
      </c>
      <c r="J24" s="21">
        <f>Contributions!F40+Contributions!F57</f>
        <v>0</v>
      </c>
      <c r="K24" s="21">
        <f>K23+J24</f>
        <v>0</v>
      </c>
      <c r="L24" s="21">
        <f>Contributions!G40+Contributions!G57</f>
        <v>0</v>
      </c>
      <c r="M24" s="21">
        <f>M23+L24</f>
        <v>0</v>
      </c>
      <c r="N24" s="21">
        <f>Contributions!H40+Contributions!H57</f>
        <v>-795092</v>
      </c>
      <c r="O24" s="21">
        <f>O23+N24</f>
        <v>319092</v>
      </c>
      <c r="P24" s="21">
        <f>Contributions!I40+Contributions!I57</f>
        <v>0</v>
      </c>
      <c r="Q24" s="21">
        <f>Q23+P24</f>
        <v>0</v>
      </c>
      <c r="R24" s="21">
        <f>C24+E24+G24+I24+K24+M24+Q24</f>
        <v>146745</v>
      </c>
      <c r="S24" s="17">
        <f>C24+E24+G24+I24+K24+M24+O24+Q24</f>
        <v>465837</v>
      </c>
    </row>
    <row r="25">
      <c r="A25" t="inlineStr">
        <is>
          <t>FY2031</t>
        </is>
      </c>
      <c r="B25" s="21">
        <f>Contributions!B41+Contributions!B58</f>
        <v>365</v>
      </c>
      <c r="C25" s="21">
        <f>C24+B25</f>
        <v>52431</v>
      </c>
      <c r="D25" s="21">
        <f>Contributions!C41+Contributions!C58</f>
        <v>177</v>
      </c>
      <c r="E25" s="21">
        <f>E24+D25</f>
        <v>25428</v>
      </c>
      <c r="F25" s="21">
        <f>Contributions!D41+Contributions!D58</f>
        <v>-19646</v>
      </c>
      <c r="G25" s="21">
        <f>G24+F25</f>
        <v>30925</v>
      </c>
      <c r="H25" s="21">
        <f>Contributions!E41+Contributions!E58</f>
        <v>132</v>
      </c>
      <c r="I25" s="21">
        <f>I24+H25</f>
        <v>18989</v>
      </c>
      <c r="J25" s="21">
        <f>Contributions!F41+Contributions!F58</f>
        <v>0</v>
      </c>
      <c r="K25" s="21">
        <f>K24+J25</f>
        <v>0</v>
      </c>
      <c r="L25" s="21">
        <f>Contributions!G41+Contributions!G58</f>
        <v>0</v>
      </c>
      <c r="M25" s="21">
        <f>M24+L25</f>
        <v>0</v>
      </c>
      <c r="N25" s="21">
        <f>Contributions!H41+Contributions!H58</f>
        <v>-301314</v>
      </c>
      <c r="O25" s="21">
        <f>O24+N25</f>
        <v>17778</v>
      </c>
      <c r="P25" s="21">
        <f>Contributions!I41+Contributions!I58</f>
        <v>0</v>
      </c>
      <c r="Q25" s="21">
        <f>Q24+P25</f>
        <v>0</v>
      </c>
      <c r="R25" s="21">
        <f>C25+E25+G25+I25+K25+M25+Q25</f>
        <v>127773</v>
      </c>
      <c r="S25" s="17">
        <f>C25+E25+G25+I25+K25+M25+O25+Q25</f>
        <v>145551</v>
      </c>
    </row>
    <row r="26">
      <c r="A26" t="inlineStr">
        <is>
          <t>FY2032</t>
        </is>
      </c>
      <c r="B26" s="21">
        <f>Contributions!B42+Contributions!B59</f>
        <v>367</v>
      </c>
      <c r="C26" s="21">
        <f>C25+B26</f>
        <v>52798</v>
      </c>
      <c r="D26" s="21">
        <f>Contributions!C42+Contributions!C59</f>
        <v>178</v>
      </c>
      <c r="E26" s="21">
        <f>E25+D26</f>
        <v>25606</v>
      </c>
      <c r="F26" s="21">
        <f>Contributions!D42+Contributions!D59</f>
        <v>-28783</v>
      </c>
      <c r="G26" s="21">
        <f>G25+F26</f>
        <v>2142</v>
      </c>
      <c r="H26" s="21">
        <f>Contributions!E42+Contributions!E59</f>
        <v>132</v>
      </c>
      <c r="I26" s="21">
        <f>I25+H26</f>
        <v>19121</v>
      </c>
      <c r="J26" s="21">
        <f>Contributions!F42+Contributions!F59</f>
        <v>126000</v>
      </c>
      <c r="K26" s="21">
        <f>K25+J26</f>
        <v>126000</v>
      </c>
      <c r="L26" s="21">
        <f>Contributions!G42+Contributions!G59</f>
        <v>0</v>
      </c>
      <c r="M26" s="21">
        <f>M25+L26</f>
        <v>0</v>
      </c>
      <c r="N26" s="21">
        <f>Contributions!H42+Contributions!H59</f>
        <v>125</v>
      </c>
      <c r="O26" s="21">
        <f>O25+N26</f>
        <v>17903</v>
      </c>
      <c r="P26" s="21">
        <f>Contributions!I42+Contributions!I59</f>
        <v>0</v>
      </c>
      <c r="Q26" s="21">
        <f>Q25+P26</f>
        <v>0</v>
      </c>
      <c r="R26" s="21">
        <f>C26+E26+G26+I26+K26+M26+Q26</f>
        <v>225667</v>
      </c>
      <c r="S26" s="17">
        <f>C26+E26+G26+I26+K26+M26+O26+Q26</f>
        <v>243570</v>
      </c>
    </row>
    <row r="27">
      <c r="A27" t="inlineStr">
        <is>
          <t>FY2033</t>
        </is>
      </c>
      <c r="B27" s="21">
        <f>Contributions!B43+Contributions!B60</f>
        <v>369</v>
      </c>
      <c r="C27" s="21">
        <f>C26+B27</f>
        <v>53167</v>
      </c>
      <c r="D27" s="21">
        <f>Contributions!C43+Contributions!C60</f>
        <v>-8321</v>
      </c>
      <c r="E27" s="21">
        <f>E26+D27</f>
        <v>17285</v>
      </c>
      <c r="F27" s="21">
        <f>Contributions!D43+Contributions!D60</f>
        <v>3839</v>
      </c>
      <c r="G27" s="21">
        <f>G26+F27</f>
        <v>5981</v>
      </c>
      <c r="H27" s="21">
        <f>Contributions!E43+Contributions!E60</f>
        <v>134</v>
      </c>
      <c r="I27" s="21">
        <f>I26+H27</f>
        <v>19255</v>
      </c>
      <c r="J27" s="21">
        <f>Contributions!F43+Contributions!F60</f>
        <v>123058</v>
      </c>
      <c r="K27" s="21">
        <f>K26+J27</f>
        <v>249058</v>
      </c>
      <c r="L27" s="21">
        <f>Contributions!G43+Contributions!G60</f>
        <v>0</v>
      </c>
      <c r="M27" s="21">
        <f>M26+L27</f>
        <v>0</v>
      </c>
      <c r="N27" s="21">
        <f>Contributions!H43+Contributions!H60</f>
        <v>125</v>
      </c>
      <c r="O27" s="21">
        <f>O26+N27</f>
        <v>18028</v>
      </c>
      <c r="P27" s="21">
        <f>Contributions!I43+Contributions!I60</f>
        <v>0</v>
      </c>
      <c r="Q27" s="21">
        <f>Q26+P27</f>
        <v>0</v>
      </c>
      <c r="R27" s="21">
        <f>C27+E27+G27+I27+K27+M27+Q27</f>
        <v>344746</v>
      </c>
      <c r="S27" s="17">
        <f>C27+E27+G27+I27+K27+M27+O27+Q27</f>
        <v>362774</v>
      </c>
    </row>
    <row r="28">
      <c r="A28" t="inlineStr">
        <is>
          <t>FY2034</t>
        </is>
      </c>
      <c r="B28" s="21">
        <f>Contributions!B44+Contributions!B61</f>
        <v>372</v>
      </c>
      <c r="C28" s="21">
        <f>C27+B28</f>
        <v>53539</v>
      </c>
      <c r="D28" s="21">
        <f>Contributions!C44+Contributions!C61</f>
        <v>121</v>
      </c>
      <c r="E28" s="21">
        <f>E27+D28</f>
        <v>17406</v>
      </c>
      <c r="F28" s="21">
        <f>Contributions!D44+Contributions!D61</f>
        <v>2393</v>
      </c>
      <c r="G28" s="21">
        <f>G27+F28</f>
        <v>8374</v>
      </c>
      <c r="H28" s="21">
        <f>Contributions!E44+Contributions!E61</f>
        <v>135</v>
      </c>
      <c r="I28" s="21">
        <f>I27+H28</f>
        <v>19390</v>
      </c>
      <c r="J28" s="21">
        <f>Contributions!F44+Contributions!F61</f>
        <v>125392</v>
      </c>
      <c r="K28" s="21">
        <f>K27+J28</f>
        <v>374450</v>
      </c>
      <c r="L28" s="21">
        <f>Contributions!G44+Contributions!G61</f>
        <v>0</v>
      </c>
      <c r="M28" s="21">
        <f>M27+L28</f>
        <v>0</v>
      </c>
      <c r="N28" s="21">
        <f>Contributions!H44+Contributions!H61</f>
        <v>126</v>
      </c>
      <c r="O28" s="21">
        <f>O27+N28</f>
        <v>18154</v>
      </c>
      <c r="P28" s="21">
        <f>Contributions!I44+Contributions!I61</f>
        <v>0</v>
      </c>
      <c r="Q28" s="21">
        <f>Q27+P28</f>
        <v>0</v>
      </c>
      <c r="R28" s="21">
        <f>C28+E28+G28+I28+K28+M28+Q28</f>
        <v>473159</v>
      </c>
      <c r="S28" s="17">
        <f>C28+E28+G28+I28+K28+M28+O28+Q28</f>
        <v>491313</v>
      </c>
    </row>
    <row r="29">
      <c r="A29" t="inlineStr">
        <is>
          <t>FY2035</t>
        </is>
      </c>
      <c r="B29" s="21">
        <f>Contributions!B45+Contributions!B62</f>
        <v>375</v>
      </c>
      <c r="C29" s="21">
        <f>C28+B29</f>
        <v>53914</v>
      </c>
      <c r="D29" s="21">
        <f>Contributions!C45+Contributions!C62</f>
        <v>122</v>
      </c>
      <c r="E29" s="21">
        <f>E28+D29</f>
        <v>17528</v>
      </c>
      <c r="F29" s="21">
        <f>Contributions!D45+Contributions!D62</f>
        <v>-18368</v>
      </c>
      <c r="G29" s="21">
        <f>G28+F29</f>
        <v>-9994</v>
      </c>
      <c r="H29" s="21">
        <f>Contributions!E45+Contributions!E62</f>
        <v>136</v>
      </c>
      <c r="I29" s="21">
        <f>I28+H29</f>
        <v>19526</v>
      </c>
      <c r="J29" s="21">
        <f>Contributions!F45+Contributions!F62</f>
        <v>-374450</v>
      </c>
      <c r="K29" s="21">
        <f>K28+J29</f>
        <v>0</v>
      </c>
      <c r="L29" s="21">
        <f>Contributions!G45+Contributions!G62</f>
        <v>0</v>
      </c>
      <c r="M29" s="21">
        <f>M28+L29</f>
        <v>0</v>
      </c>
      <c r="N29" s="21">
        <f>Contributions!H45+Contributions!H62</f>
        <v>128</v>
      </c>
      <c r="O29" s="21">
        <f>O28+N29</f>
        <v>18282</v>
      </c>
      <c r="P29" s="21">
        <f>Contributions!I45+Contributions!I62</f>
        <v>0</v>
      </c>
      <c r="Q29" s="21">
        <f>Q28+P29</f>
        <v>0</v>
      </c>
      <c r="R29" s="21">
        <f>C29+E29+G29+I29+K29+M29+Q29</f>
        <v>80974</v>
      </c>
      <c r="S29" s="17">
        <f>C29+E29+G29+I29+K29+M29+O29+Q29</f>
        <v>99256</v>
      </c>
    </row>
    <row r="30">
      <c r="A30" t="inlineStr">
        <is>
          <t>FY2036</t>
        </is>
      </c>
      <c r="B30" s="21">
        <f>Contributions!B46+Contributions!B63</f>
        <v>378</v>
      </c>
      <c r="C30" s="21">
        <f>C29+B30</f>
        <v>54292</v>
      </c>
      <c r="D30" s="21">
        <f>Contributions!C46+Contributions!C63</f>
        <v>123</v>
      </c>
      <c r="E30" s="21">
        <f>E29+D30</f>
        <v>17651</v>
      </c>
      <c r="F30" s="21">
        <f>Contributions!D46+Contributions!D63</f>
        <v>9994</v>
      </c>
      <c r="G30" s="21">
        <f>G29+F30</f>
        <v>0</v>
      </c>
      <c r="H30" s="21">
        <f>Contributions!E46+Contributions!E63</f>
        <v>136</v>
      </c>
      <c r="I30" s="21">
        <f>I29+H30</f>
        <v>19662</v>
      </c>
      <c r="J30" s="21">
        <f>Contributions!F46+Contributions!F63</f>
        <v>0</v>
      </c>
      <c r="K30" s="21">
        <f>K29+J30</f>
        <v>0</v>
      </c>
      <c r="L30" s="21">
        <f>Contributions!G46+Contributions!G63</f>
        <v>0</v>
      </c>
      <c r="M30" s="21">
        <f>M29+L30</f>
        <v>0</v>
      </c>
      <c r="N30" s="21">
        <f>Contributions!H46+Contributions!H63</f>
        <v>128</v>
      </c>
      <c r="O30" s="21">
        <f>O29+N30</f>
        <v>18410</v>
      </c>
      <c r="P30" s="21">
        <f>Contributions!I46+Contributions!I63</f>
        <v>0</v>
      </c>
      <c r="Q30" s="21">
        <f>Q29+P30</f>
        <v>0</v>
      </c>
      <c r="R30" s="21">
        <f>C30+E30+G30+I30+K30+M30+Q30</f>
        <v>91605</v>
      </c>
      <c r="S30" s="17">
        <f>C30+E30+G30+I30+K30+M30+O30+Q30</f>
        <v>110015</v>
      </c>
    </row>
    <row r="31">
      <c r="A31" t="inlineStr">
        <is>
          <t>FY2037</t>
        </is>
      </c>
      <c r="B31" s="21">
        <f>Contributions!B47+Contributions!B64</f>
        <v>380</v>
      </c>
      <c r="C31" s="21">
        <f>C30+B31</f>
        <v>54672</v>
      </c>
      <c r="D31" s="21">
        <f>Contributions!C47+Contributions!C64</f>
        <v>124</v>
      </c>
      <c r="E31" s="21">
        <f>E30+D31</f>
        <v>17775</v>
      </c>
      <c r="F31" s="21">
        <f>Contributions!D47+Contributions!D64</f>
        <v>0</v>
      </c>
      <c r="G31" s="21">
        <f>G30+F31</f>
        <v>0</v>
      </c>
      <c r="H31" s="21">
        <f>Contributions!E47+Contributions!E64</f>
        <v>138</v>
      </c>
      <c r="I31" s="21">
        <f>I30+H31</f>
        <v>19800</v>
      </c>
      <c r="J31" s="21">
        <f>Contributions!F47+Contributions!F64</f>
        <v>0</v>
      </c>
      <c r="K31" s="21">
        <f>K30+J31</f>
        <v>0</v>
      </c>
      <c r="L31" s="21">
        <f>Contributions!G47+Contributions!G64</f>
        <v>40456</v>
      </c>
      <c r="M31" s="21">
        <f>M30+L31</f>
        <v>40456</v>
      </c>
      <c r="N31" s="21">
        <f>Contributions!H47+Contributions!H64</f>
        <v>128</v>
      </c>
      <c r="O31" s="21">
        <f>O30+N31</f>
        <v>18538</v>
      </c>
      <c r="P31" s="21">
        <f>Contributions!I47+Contributions!I64</f>
        <v>0</v>
      </c>
      <c r="Q31" s="21">
        <f>Q30+P31</f>
        <v>0</v>
      </c>
      <c r="R31" s="21">
        <f>C31+E31+G31+I31+K31+M31+Q31</f>
        <v>132703</v>
      </c>
      <c r="S31" s="17">
        <f>C31+E31+G31+I31+K31+M31+O31+Q31</f>
        <v>151241</v>
      </c>
    </row>
    <row r="32">
      <c r="A32" t="inlineStr">
        <is>
          <t>FY2038</t>
        </is>
      </c>
      <c r="B32" s="21">
        <f>Contributions!B48+Contributions!B65</f>
        <v>382</v>
      </c>
      <c r="C32" s="21">
        <f>C31+B32</f>
        <v>55054</v>
      </c>
      <c r="D32" s="21">
        <f>Contributions!C48+Contributions!C65</f>
        <v>124</v>
      </c>
      <c r="E32" s="21">
        <f>E31+D32</f>
        <v>17899</v>
      </c>
      <c r="F32" s="21">
        <f>Contributions!D48+Contributions!D65</f>
        <v>0</v>
      </c>
      <c r="G32" s="21">
        <f>G31+F32</f>
        <v>0</v>
      </c>
      <c r="H32" s="21">
        <f>Contributions!E48+Contributions!E65</f>
        <v>139</v>
      </c>
      <c r="I32" s="21">
        <f>I31+H32</f>
        <v>19939</v>
      </c>
      <c r="J32" s="21">
        <f>Contributions!F48+Contributions!F65</f>
        <v>0</v>
      </c>
      <c r="K32" s="21">
        <f>K31+J32</f>
        <v>0</v>
      </c>
      <c r="L32" s="21">
        <f>Contributions!G48+Contributions!G65</f>
        <v>23270</v>
      </c>
      <c r="M32" s="21">
        <f>M31+L32</f>
        <v>63726</v>
      </c>
      <c r="N32" s="21">
        <f>Contributions!H48+Contributions!H65</f>
        <v>130</v>
      </c>
      <c r="O32" s="21">
        <f>O31+N32</f>
        <v>18668</v>
      </c>
      <c r="P32" s="21">
        <f>Contributions!I48+Contributions!I65</f>
        <v>0</v>
      </c>
      <c r="Q32" s="21">
        <f>Q31+P32</f>
        <v>0</v>
      </c>
      <c r="R32" s="21">
        <f>C32+E32+G32+I32+K32+M32+Q32</f>
        <v>156618</v>
      </c>
      <c r="S32" s="17">
        <f>C32+E32+G32+I32+K32+M32+O32+Q32</f>
        <v>175286</v>
      </c>
    </row>
    <row r="33">
      <c r="A33" t="inlineStr">
        <is>
          <t>FY2039</t>
        </is>
      </c>
      <c r="B33" s="21">
        <f>Contributions!B49+Contributions!B66</f>
        <v>386</v>
      </c>
      <c r="C33" s="21">
        <f>C32+B33</f>
        <v>55440</v>
      </c>
      <c r="D33" s="21">
        <f>Contributions!C49+Contributions!C66</f>
        <v>125</v>
      </c>
      <c r="E33" s="21">
        <f>E32+D33</f>
        <v>18024</v>
      </c>
      <c r="F33" s="21">
        <f>Contributions!D49+Contributions!D66</f>
        <v>0</v>
      </c>
      <c r="G33" s="21">
        <f>G32+F33</f>
        <v>0</v>
      </c>
      <c r="H33" s="21">
        <f>Contributions!E49+Contributions!E66</f>
        <v>139</v>
      </c>
      <c r="I33" s="21">
        <f>I32+H33</f>
        <v>20078</v>
      </c>
      <c r="J33" s="21">
        <f>Contributions!F49+Contributions!F66</f>
        <v>90230</v>
      </c>
      <c r="K33" s="21">
        <f>K32+J33</f>
        <v>90230</v>
      </c>
      <c r="L33" s="21">
        <f>Contributions!G49+Contributions!G66</f>
        <v>-63726</v>
      </c>
      <c r="M33" s="21">
        <f>M32+L33</f>
        <v>0</v>
      </c>
      <c r="N33" s="21">
        <f>Contributions!H49+Contributions!H66</f>
        <v>131</v>
      </c>
      <c r="O33" s="21">
        <f>O32+N33</f>
        <v>18799</v>
      </c>
      <c r="P33" s="21">
        <f>Contributions!I49+Contributions!I66</f>
        <v>0</v>
      </c>
      <c r="Q33" s="21">
        <f>Q32+P33</f>
        <v>0</v>
      </c>
      <c r="R33" s="21">
        <f>C33+E33+G33+I33+K33+M33+Q33</f>
        <v>183772</v>
      </c>
      <c r="S33" s="17">
        <f>C33+E33+G33+I33+K33+M33+O33+Q33</f>
        <v>202571</v>
      </c>
    </row>
    <row r="34">
      <c r="A34" t="inlineStr">
        <is>
          <t>FY2040</t>
        </is>
      </c>
      <c r="B34" s="21">
        <f>Contributions!B50+Contributions!B67</f>
        <v>388</v>
      </c>
      <c r="C34" s="21">
        <f>C33+B34</f>
        <v>55828</v>
      </c>
      <c r="D34" s="21">
        <f>Contributions!C50+Contributions!C67</f>
        <v>126</v>
      </c>
      <c r="E34" s="21">
        <f>E33+D34</f>
        <v>18150</v>
      </c>
      <c r="F34" s="21">
        <f>Contributions!D50+Contributions!D67</f>
        <v>6308</v>
      </c>
      <c r="G34" s="21">
        <f>G33+F34</f>
        <v>6308</v>
      </c>
      <c r="H34" s="21">
        <f>Contributions!E50+Contributions!E67</f>
        <v>141</v>
      </c>
      <c r="I34" s="21">
        <f>I33+H34</f>
        <v>20219</v>
      </c>
      <c r="J34" s="21">
        <f>Contributions!F50+Contributions!F67</f>
        <v>-90230</v>
      </c>
      <c r="K34" s="21">
        <f>K33+J34</f>
        <v>0</v>
      </c>
      <c r="L34" s="21">
        <f>Contributions!G50+Contributions!G67</f>
        <v>0</v>
      </c>
      <c r="M34" s="21">
        <f>M33+L34</f>
        <v>0</v>
      </c>
      <c r="N34" s="21">
        <f>Contributions!H50+Contributions!H67</f>
        <v>131</v>
      </c>
      <c r="O34" s="21">
        <f>O33+N34</f>
        <v>18930</v>
      </c>
      <c r="P34" s="21">
        <f>Contributions!I50+Contributions!I67</f>
        <v>0</v>
      </c>
      <c r="Q34" s="21">
        <f>Q33+P34</f>
        <v>0</v>
      </c>
      <c r="R34" s="21">
        <f>C34+E34+G34+I34+K34+M34+Q34</f>
        <v>100505</v>
      </c>
      <c r="S34" s="17">
        <f>C34+E34+G34+I34+K34+M34+O34+Q34</f>
        <v>119435</v>
      </c>
    </row>
    <row r="35">
      <c r="A35" t="inlineStr">
        <is>
          <t>FY2041</t>
        </is>
      </c>
      <c r="B35" s="21">
        <f>Contributions!B51+Contributions!B68</f>
        <v>391</v>
      </c>
      <c r="C35" s="21">
        <f>C34+B35</f>
        <v>56219</v>
      </c>
      <c r="D35" s="21">
        <f>Contributions!C51+Contributions!C68</f>
        <v>127</v>
      </c>
      <c r="E35" s="21">
        <f>E34+D35</f>
        <v>18277</v>
      </c>
      <c r="F35" s="21">
        <f>Contributions!D51+Contributions!D68</f>
        <v>8906</v>
      </c>
      <c r="G35" s="21">
        <f>G34+F35</f>
        <v>15214</v>
      </c>
      <c r="H35" s="21">
        <f>Contributions!E51+Contributions!E68</f>
        <v>141</v>
      </c>
      <c r="I35" s="21">
        <f>I34+H35</f>
        <v>20360</v>
      </c>
      <c r="J35" s="21">
        <f>Contributions!F51+Contributions!F68</f>
        <v>117138</v>
      </c>
      <c r="K35" s="21">
        <f>K34+J35</f>
        <v>117138</v>
      </c>
      <c r="L35" s="21">
        <f>Contributions!G51+Contributions!G68</f>
        <v>0</v>
      </c>
      <c r="M35" s="21">
        <f>M34+L35</f>
        <v>0</v>
      </c>
      <c r="N35" s="21">
        <f>Contributions!H51+Contributions!H68</f>
        <v>133</v>
      </c>
      <c r="O35" s="21">
        <f>O34+N35</f>
        <v>19063</v>
      </c>
      <c r="P35" s="21">
        <f>Contributions!I51+Contributions!I68</f>
        <v>0</v>
      </c>
      <c r="Q35" s="21">
        <f>Q34+P35</f>
        <v>0</v>
      </c>
      <c r="R35" s="21">
        <f>C35+E35+G35+I35+K35+M35+Q35</f>
        <v>227208</v>
      </c>
      <c r="S35" s="17">
        <f>C35+E35+G35+I35+K35+M35+O35+Q35</f>
        <v>246271</v>
      </c>
    </row>
    <row r="36">
      <c r="A36" t="inlineStr">
        <is>
          <t>FY2042</t>
        </is>
      </c>
      <c r="B36" s="21">
        <f>Contributions!B52+Contributions!B69</f>
        <v>393</v>
      </c>
      <c r="C36" s="21">
        <f>C35+B36</f>
        <v>56612</v>
      </c>
      <c r="D36" s="21">
        <f>Contributions!C52+Contributions!C69</f>
        <v>128</v>
      </c>
      <c r="E36" s="21">
        <f>E35+D36</f>
        <v>18405</v>
      </c>
      <c r="F36" s="21">
        <f>Contributions!D52+Contributions!D69</f>
        <v>-16070</v>
      </c>
      <c r="G36" s="21">
        <f>G35+F36</f>
        <v>-856</v>
      </c>
      <c r="H36" s="21">
        <f>Contributions!E52+Contributions!E69</f>
        <v>143</v>
      </c>
      <c r="I36" s="21">
        <f>I35+H36</f>
        <v>20503</v>
      </c>
      <c r="J36" s="21">
        <f>Contributions!F52+Contributions!F69</f>
        <v>-128504</v>
      </c>
      <c r="K36" s="21">
        <f>K35+J36</f>
        <v>-11366</v>
      </c>
      <c r="L36" s="21">
        <f>Contributions!G52+Contributions!G69</f>
        <v>0</v>
      </c>
      <c r="M36" s="21">
        <f>M35+L36</f>
        <v>0</v>
      </c>
      <c r="N36" s="21">
        <f>Contributions!H52+Contributions!H69</f>
        <v>133</v>
      </c>
      <c r="O36" s="21">
        <f>O35+N36</f>
        <v>19196</v>
      </c>
      <c r="P36" s="21">
        <f>Contributions!I52+Contributions!I69</f>
        <v>0</v>
      </c>
      <c r="Q36" s="21">
        <f>Q35+P36</f>
        <v>0</v>
      </c>
      <c r="R36" s="21">
        <f>C36+E36+G36+I36+K36+M36+Q36</f>
        <v>83298</v>
      </c>
      <c r="S36" s="17">
        <f>C36+E36+G36+I36+K36+M36+O36+Q36</f>
        <v>102494</v>
      </c>
    </row>
    <row r="37">
      <c r="A37" s="16" t="inlineStr">
        <is>
          <t>Min balance</t>
        </is>
      </c>
      <c r="C37" s="21">
        <f>MIN(C22:C36)</f>
        <v>51345</v>
      </c>
      <c r="E37" s="21">
        <f>MIN(E22:E36)</f>
        <v>17285</v>
      </c>
      <c r="G37" s="21">
        <f>MIN(G22:G36)</f>
        <v>-9994</v>
      </c>
      <c r="I37" s="21">
        <f>MIN(I22:I36)</f>
        <v>18595</v>
      </c>
      <c r="K37" s="21">
        <f>MIN(K22:K36)</f>
        <v>-11366</v>
      </c>
      <c r="M37" s="21">
        <f>MIN(M22:M36)</f>
        <v>0</v>
      </c>
      <c r="O37" s="21">
        <f>MIN(O22:O36)</f>
        <v>17778</v>
      </c>
      <c r="Q37" s="21">
        <f>MIN(Q22:Q36)</f>
        <v>0</v>
      </c>
      <c r="S37" s="17">
        <f>MIN(C37,E37,G37,I37,K37,M37,O37,Q37)</f>
        <v>-11366</v>
      </c>
    </row>
    <row r="38">
      <c r="B38" s="6" t="inlineStr">
        <is>
          <t>small purchases (≤$15,000) are cash-flowed in-fund; a dip is a payable within a −$15,000 tolerance, never new borrowing — the Summary check row flags anything beyond it</t>
        </is>
      </c>
    </row>
    <row r="39">
      <c r="A39" s="4" t="inlineStr">
        <is>
          <t>Phased start from $300k (reaches $500k in FY2032)</t>
        </is>
      </c>
    </row>
    <row r="40">
      <c r="A40" s="14" t="inlineStr">
        <is>
          <t>Fiscal year</t>
        </is>
      </c>
      <c r="B40" s="14" t="inlineStr">
        <is>
          <t>Bridge net</t>
        </is>
      </c>
      <c r="C40" s="14" t="inlineStr">
        <is>
          <t>Bridge bal</t>
        </is>
      </c>
      <c r="D40" s="14" t="inlineStr">
        <is>
          <t>Garage net</t>
        </is>
      </c>
      <c r="E40" s="14" t="inlineStr">
        <is>
          <t>Garage bal</t>
        </is>
      </c>
      <c r="F40" s="14" t="inlineStr">
        <is>
          <t>Town Hall net</t>
        </is>
      </c>
      <c r="G40" s="14" t="inlineStr">
        <is>
          <t>Town Hall bal</t>
        </is>
      </c>
      <c r="H40" s="14" t="inlineStr">
        <is>
          <t>Courts net</t>
        </is>
      </c>
      <c r="I40" s="14" t="inlineStr">
        <is>
          <t>Courts bal</t>
        </is>
      </c>
      <c r="J40" s="14" t="inlineStr">
        <is>
          <t>A&amp;E net</t>
        </is>
      </c>
      <c r="K40" s="14" t="inlineStr">
        <is>
          <t>A&amp;E bal</t>
        </is>
      </c>
      <c r="L40" s="14" t="inlineStr">
        <is>
          <t>Paving net</t>
        </is>
      </c>
      <c r="M40" s="14" t="inlineStr">
        <is>
          <t>Paving bal</t>
        </is>
      </c>
      <c r="N40" s="14" t="inlineStr">
        <is>
          <t>Proceeds net</t>
        </is>
      </c>
      <c r="O40" s="14" t="inlineStr">
        <is>
          <t>Proceeds bal</t>
        </is>
      </c>
      <c r="P40" s="14" t="inlineStr">
        <is>
          <t>Cap Reserve net</t>
        </is>
      </c>
      <c r="Q40" s="14" t="inlineStr">
        <is>
          <t>Cap Reserve bal</t>
        </is>
      </c>
      <c r="R40" s="14" t="inlineStr">
        <is>
          <t>Reserve funds</t>
        </is>
      </c>
      <c r="S40" s="14" t="inlineStr">
        <is>
          <t>Reserve funds + bond proceeds</t>
        </is>
      </c>
    </row>
    <row r="41">
      <c r="A41" t="inlineStr">
        <is>
          <t>FY2028</t>
        </is>
      </c>
      <c r="B41" s="21">
        <f>Contributions!B73+Contributions!B90</f>
        <v>357</v>
      </c>
      <c r="C41" s="21">
        <f>Inputs!$B$28+B41</f>
        <v>51345</v>
      </c>
      <c r="D41" s="21">
        <f>Contributions!C73+Contributions!C90</f>
        <v>-10750</v>
      </c>
      <c r="E41" s="21">
        <f>Inputs!$B$29+D41</f>
        <v>24902</v>
      </c>
      <c r="F41" s="21">
        <f>Contributions!D73+Contributions!D90</f>
        <v>656</v>
      </c>
      <c r="G41" s="21">
        <f>Inputs!$B$30+F41</f>
        <v>94385</v>
      </c>
      <c r="H41" s="21">
        <f>Contributions!E73+Contributions!E90</f>
        <v>129</v>
      </c>
      <c r="I41" s="21">
        <f>Inputs!$B$31+H41</f>
        <v>18595</v>
      </c>
      <c r="J41" s="21">
        <f>Contributions!F73+Contributions!F90</f>
        <v>-110238</v>
      </c>
      <c r="K41" s="21">
        <f>Inputs!$B$32+J41</f>
        <v>-9775</v>
      </c>
      <c r="L41" s="21">
        <f>Contributions!G73+Contributions!G90</f>
        <v>-42359</v>
      </c>
      <c r="M41" s="21">
        <f>Inputs!$B$33+L41</f>
        <v>0</v>
      </c>
      <c r="N41" s="21">
        <f>Contributions!H73+Contributions!H90</f>
        <v>802891</v>
      </c>
      <c r="O41" s="21">
        <f>0+N41</f>
        <v>802891</v>
      </c>
      <c r="P41" s="21">
        <f>Contributions!I73+Contributions!I90</f>
        <v>0</v>
      </c>
      <c r="Q41" s="21">
        <f>0+P41</f>
        <v>0</v>
      </c>
      <c r="R41" s="21">
        <f>C41+E41+G41+I41+K41+M41+Q41</f>
        <v>179452</v>
      </c>
      <c r="S41" s="17">
        <f>C41+E41+G41+I41+K41+M41+O41+Q41</f>
        <v>982343</v>
      </c>
    </row>
    <row r="42">
      <c r="A42" t="inlineStr">
        <is>
          <t>FY2029</t>
        </is>
      </c>
      <c r="B42" s="21">
        <f>Contributions!B74+Contributions!B91</f>
        <v>359</v>
      </c>
      <c r="C42" s="21">
        <f>C41+B42</f>
        <v>51704</v>
      </c>
      <c r="D42" s="21">
        <f>Contributions!C74+Contributions!C91</f>
        <v>174</v>
      </c>
      <c r="E42" s="21">
        <f>E41+D42</f>
        <v>25076</v>
      </c>
      <c r="F42" s="21">
        <f>Contributions!D74+Contributions!D91</f>
        <v>-19339</v>
      </c>
      <c r="G42" s="21">
        <f>G41+F42</f>
        <v>75046</v>
      </c>
      <c r="H42" s="21">
        <f>Contributions!E74+Contributions!E91</f>
        <v>130</v>
      </c>
      <c r="I42" s="21">
        <f>I41+H42</f>
        <v>18725</v>
      </c>
      <c r="J42" s="21">
        <f>Contributions!F74+Contributions!F91</f>
        <v>9775</v>
      </c>
      <c r="K42" s="21">
        <f>K41+J42</f>
        <v>0</v>
      </c>
      <c r="L42" s="21">
        <f>Contributions!G74+Contributions!G91</f>
        <v>0</v>
      </c>
      <c r="M42" s="21">
        <f>M41+L42</f>
        <v>0</v>
      </c>
      <c r="N42" s="21">
        <f>Contributions!H74+Contributions!H91</f>
        <v>5620</v>
      </c>
      <c r="O42" s="21">
        <f>O41+N42</f>
        <v>808511</v>
      </c>
      <c r="P42" s="21">
        <f>Contributions!I74+Contributions!I91</f>
        <v>0</v>
      </c>
      <c r="Q42" s="21">
        <f>Q41+P42</f>
        <v>0</v>
      </c>
      <c r="R42" s="21">
        <f>C42+E42+G42+I42+K42+M42+Q42</f>
        <v>170551</v>
      </c>
      <c r="S42" s="17">
        <f>C42+E42+G42+I42+K42+M42+O42+Q42</f>
        <v>979062</v>
      </c>
    </row>
    <row r="43">
      <c r="A43" t="inlineStr">
        <is>
          <t>FY2030</t>
        </is>
      </c>
      <c r="B43" s="21">
        <f>Contributions!B75+Contributions!B92</f>
        <v>362</v>
      </c>
      <c r="C43" s="21">
        <f>C42+B43</f>
        <v>52066</v>
      </c>
      <c r="D43" s="21">
        <f>Contributions!C75+Contributions!C92</f>
        <v>175</v>
      </c>
      <c r="E43" s="21">
        <f>E42+D43</f>
        <v>25251</v>
      </c>
      <c r="F43" s="21">
        <f>Contributions!D75+Contributions!D92</f>
        <v>-24475</v>
      </c>
      <c r="G43" s="21">
        <f>G42+F43</f>
        <v>50571</v>
      </c>
      <c r="H43" s="21">
        <f>Contributions!E75+Contributions!E92</f>
        <v>132</v>
      </c>
      <c r="I43" s="21">
        <f>I42+H43</f>
        <v>18857</v>
      </c>
      <c r="J43" s="21">
        <f>Contributions!F75+Contributions!F92</f>
        <v>0</v>
      </c>
      <c r="K43" s="21">
        <f>K42+J43</f>
        <v>0</v>
      </c>
      <c r="L43" s="21">
        <f>Contributions!G75+Contributions!G92</f>
        <v>0</v>
      </c>
      <c r="M43" s="21">
        <f>M42+L43</f>
        <v>0</v>
      </c>
      <c r="N43" s="21">
        <f>Contributions!H75+Contributions!H92</f>
        <v>-797231</v>
      </c>
      <c r="O43" s="21">
        <f>O42+N43</f>
        <v>11280</v>
      </c>
      <c r="P43" s="21">
        <f>Contributions!I75+Contributions!I92</f>
        <v>0</v>
      </c>
      <c r="Q43" s="21">
        <f>Q42+P43</f>
        <v>0</v>
      </c>
      <c r="R43" s="21">
        <f>C43+E43+G43+I43+K43+M43+Q43</f>
        <v>146745</v>
      </c>
      <c r="S43" s="17">
        <f>C43+E43+G43+I43+K43+M43+O43+Q43</f>
        <v>158025</v>
      </c>
    </row>
    <row r="44">
      <c r="A44" t="inlineStr">
        <is>
          <t>FY2031</t>
        </is>
      </c>
      <c r="B44" s="21">
        <f>Contributions!B76+Contributions!B93</f>
        <v>365</v>
      </c>
      <c r="C44" s="21">
        <f>C43+B44</f>
        <v>52431</v>
      </c>
      <c r="D44" s="21">
        <f>Contributions!C76+Contributions!C93</f>
        <v>177</v>
      </c>
      <c r="E44" s="21">
        <f>E43+D44</f>
        <v>25428</v>
      </c>
      <c r="F44" s="21">
        <f>Contributions!D76+Contributions!D93</f>
        <v>-19646</v>
      </c>
      <c r="G44" s="21">
        <f>G43+F44</f>
        <v>30925</v>
      </c>
      <c r="H44" s="21">
        <f>Contributions!E76+Contributions!E93</f>
        <v>132</v>
      </c>
      <c r="I44" s="21">
        <f>I43+H44</f>
        <v>18989</v>
      </c>
      <c r="J44" s="21">
        <f>Contributions!F76+Contributions!F93</f>
        <v>0</v>
      </c>
      <c r="K44" s="21">
        <f>K43+J44</f>
        <v>0</v>
      </c>
      <c r="L44" s="21">
        <f>Contributions!G76+Contributions!G93</f>
        <v>0</v>
      </c>
      <c r="M44" s="21">
        <f>M43+L44</f>
        <v>0</v>
      </c>
      <c r="N44" s="21">
        <f>Contributions!H76+Contributions!H93</f>
        <v>79</v>
      </c>
      <c r="O44" s="21">
        <f>O43+N44</f>
        <v>11359</v>
      </c>
      <c r="P44" s="21">
        <f>Contributions!I76+Contributions!I93</f>
        <v>0</v>
      </c>
      <c r="Q44" s="21">
        <f>Q43+P44</f>
        <v>0</v>
      </c>
      <c r="R44" s="21">
        <f>C44+E44+G44+I44+K44+M44+Q44</f>
        <v>127773</v>
      </c>
      <c r="S44" s="17">
        <f>C44+E44+G44+I44+K44+M44+O44+Q44</f>
        <v>139132</v>
      </c>
    </row>
    <row r="45">
      <c r="A45" t="inlineStr">
        <is>
          <t>FY2032</t>
        </is>
      </c>
      <c r="B45" s="21">
        <f>Contributions!B77+Contributions!B94</f>
        <v>367</v>
      </c>
      <c r="C45" s="21">
        <f>C44+B45</f>
        <v>52798</v>
      </c>
      <c r="D45" s="21">
        <f>Contributions!C77+Contributions!C94</f>
        <v>178</v>
      </c>
      <c r="E45" s="21">
        <f>E44+D45</f>
        <v>25606</v>
      </c>
      <c r="F45" s="21">
        <f>Contributions!D77+Contributions!D94</f>
        <v>-28783</v>
      </c>
      <c r="G45" s="21">
        <f>G44+F45</f>
        <v>2142</v>
      </c>
      <c r="H45" s="21">
        <f>Contributions!E77+Contributions!E94</f>
        <v>132</v>
      </c>
      <c r="I45" s="21">
        <f>I44+H45</f>
        <v>19121</v>
      </c>
      <c r="J45" s="21">
        <f>Contributions!F77+Contributions!F94</f>
        <v>0</v>
      </c>
      <c r="K45" s="21">
        <f>K44+J45</f>
        <v>0</v>
      </c>
      <c r="L45" s="21">
        <f>Contributions!G77+Contributions!G94</f>
        <v>-2951</v>
      </c>
      <c r="M45" s="21">
        <f>M44+L45</f>
        <v>-2951</v>
      </c>
      <c r="N45" s="21">
        <f>Contributions!H77+Contributions!H94</f>
        <v>79</v>
      </c>
      <c r="O45" s="21">
        <f>O44+N45</f>
        <v>11438</v>
      </c>
      <c r="P45" s="21">
        <f>Contributions!I77+Contributions!I94</f>
        <v>0</v>
      </c>
      <c r="Q45" s="21">
        <f>Q44+P45</f>
        <v>0</v>
      </c>
      <c r="R45" s="21">
        <f>C45+E45+G45+I45+K45+M45+Q45</f>
        <v>96716</v>
      </c>
      <c r="S45" s="17">
        <f>C45+E45+G45+I45+K45+M45+O45+Q45</f>
        <v>108154</v>
      </c>
    </row>
    <row r="46">
      <c r="A46" t="inlineStr">
        <is>
          <t>FY2033</t>
        </is>
      </c>
      <c r="B46" s="21">
        <f>Contributions!B78+Contributions!B95</f>
        <v>369</v>
      </c>
      <c r="C46" s="21">
        <f>C45+B46</f>
        <v>53167</v>
      </c>
      <c r="D46" s="21">
        <f>Contributions!C78+Contributions!C95</f>
        <v>-8321</v>
      </c>
      <c r="E46" s="21">
        <f>E45+D46</f>
        <v>17285</v>
      </c>
      <c r="F46" s="21">
        <f>Contributions!D78+Contributions!D95</f>
        <v>15</v>
      </c>
      <c r="G46" s="21">
        <f>G45+F46</f>
        <v>2157</v>
      </c>
      <c r="H46" s="21">
        <f>Contributions!E78+Contributions!E95</f>
        <v>134</v>
      </c>
      <c r="I46" s="21">
        <f>I45+H46</f>
        <v>19255</v>
      </c>
      <c r="J46" s="21">
        <f>Contributions!F78+Contributions!F95</f>
        <v>0</v>
      </c>
      <c r="K46" s="21">
        <f>K45+J46</f>
        <v>0</v>
      </c>
      <c r="L46" s="21">
        <f>Contributions!G78+Contributions!G95</f>
        <v>-1365</v>
      </c>
      <c r="M46" s="21">
        <f>M45+L46</f>
        <v>-4316</v>
      </c>
      <c r="N46" s="21">
        <f>Contributions!H78+Contributions!H95</f>
        <v>80</v>
      </c>
      <c r="O46" s="21">
        <f>O45+N46</f>
        <v>11518</v>
      </c>
      <c r="P46" s="21">
        <f>Contributions!I78+Contributions!I95</f>
        <v>0</v>
      </c>
      <c r="Q46" s="21">
        <f>Q45+P46</f>
        <v>0</v>
      </c>
      <c r="R46" s="21">
        <f>C46+E46+G46+I46+K46+M46+Q46</f>
        <v>87548</v>
      </c>
      <c r="S46" s="17">
        <f>C46+E46+G46+I46+K46+M46+O46+Q46</f>
        <v>99066</v>
      </c>
    </row>
    <row r="47">
      <c r="A47" t="inlineStr">
        <is>
          <t>FY2034</t>
        </is>
      </c>
      <c r="B47" s="21">
        <f>Contributions!B79+Contributions!B96</f>
        <v>372</v>
      </c>
      <c r="C47" s="21">
        <f>C46+B47</f>
        <v>53539</v>
      </c>
      <c r="D47" s="21">
        <f>Contributions!C79+Contributions!C96</f>
        <v>121</v>
      </c>
      <c r="E47" s="21">
        <f>E46+D47</f>
        <v>17406</v>
      </c>
      <c r="F47" s="21">
        <f>Contributions!D79+Contributions!D96</f>
        <v>1765</v>
      </c>
      <c r="G47" s="21">
        <f>G46+F47</f>
        <v>3922</v>
      </c>
      <c r="H47" s="21">
        <f>Contributions!E79+Contributions!E96</f>
        <v>135</v>
      </c>
      <c r="I47" s="21">
        <f>I46+H47</f>
        <v>19390</v>
      </c>
      <c r="J47" s="21">
        <f>Contributions!F79+Contributions!F96</f>
        <v>63851</v>
      </c>
      <c r="K47" s="21">
        <f>K46+J47</f>
        <v>63851</v>
      </c>
      <c r="L47" s="21">
        <f>Contributions!G79+Contributions!G96</f>
        <v>4316</v>
      </c>
      <c r="M47" s="21">
        <f>M46+L47</f>
        <v>0</v>
      </c>
      <c r="N47" s="21">
        <f>Contributions!H79+Contributions!H96</f>
        <v>81</v>
      </c>
      <c r="O47" s="21">
        <f>O46+N47</f>
        <v>11599</v>
      </c>
      <c r="P47" s="21">
        <f>Contributions!I79+Contributions!I96</f>
        <v>0</v>
      </c>
      <c r="Q47" s="21">
        <f>Q46+P47</f>
        <v>0</v>
      </c>
      <c r="R47" s="21">
        <f>C47+E47+G47+I47+K47+M47+Q47</f>
        <v>158108</v>
      </c>
      <c r="S47" s="17">
        <f>C47+E47+G47+I47+K47+M47+O47+Q47</f>
        <v>169707</v>
      </c>
    </row>
    <row r="48">
      <c r="A48" t="inlineStr">
        <is>
          <t>FY2035</t>
        </is>
      </c>
      <c r="B48" s="21">
        <f>Contributions!B80+Contributions!B97</f>
        <v>375</v>
      </c>
      <c r="C48" s="21">
        <f>C47+B48</f>
        <v>53914</v>
      </c>
      <c r="D48" s="21">
        <f>Contributions!C80+Contributions!C97</f>
        <v>122</v>
      </c>
      <c r="E48" s="21">
        <f>E47+D48</f>
        <v>17528</v>
      </c>
      <c r="F48" s="21">
        <f>Contributions!D80+Contributions!D97</f>
        <v>-16783</v>
      </c>
      <c r="G48" s="21">
        <f>G47+F48</f>
        <v>-12861</v>
      </c>
      <c r="H48" s="21">
        <f>Contributions!E80+Contributions!E97</f>
        <v>136</v>
      </c>
      <c r="I48" s="21">
        <f>I47+H48</f>
        <v>19526</v>
      </c>
      <c r="J48" s="21">
        <f>Contributions!F80+Contributions!F97</f>
        <v>-63851</v>
      </c>
      <c r="K48" s="21">
        <f>K47+J48</f>
        <v>0</v>
      </c>
      <c r="L48" s="21">
        <f>Contributions!G80+Contributions!G97</f>
        <v>0</v>
      </c>
      <c r="M48" s="21">
        <f>M47+L48</f>
        <v>0</v>
      </c>
      <c r="N48" s="21">
        <f>Contributions!H80+Contributions!H97</f>
        <v>81</v>
      </c>
      <c r="O48" s="21">
        <f>O47+N48</f>
        <v>11680</v>
      </c>
      <c r="P48" s="21">
        <f>Contributions!I80+Contributions!I97</f>
        <v>0</v>
      </c>
      <c r="Q48" s="21">
        <f>Q47+P48</f>
        <v>0</v>
      </c>
      <c r="R48" s="21">
        <f>C48+E48+G48+I48+K48+M48+Q48</f>
        <v>78107</v>
      </c>
      <c r="S48" s="17">
        <f>C48+E48+G48+I48+K48+M48+O48+Q48</f>
        <v>89787</v>
      </c>
    </row>
    <row r="49">
      <c r="A49" t="inlineStr">
        <is>
          <t>FY2036</t>
        </is>
      </c>
      <c r="B49" s="21">
        <f>Contributions!B81+Contributions!B98</f>
        <v>378</v>
      </c>
      <c r="C49" s="21">
        <f>C48+B49</f>
        <v>54292</v>
      </c>
      <c r="D49" s="21">
        <f>Contributions!C81+Contributions!C98</f>
        <v>123</v>
      </c>
      <c r="E49" s="21">
        <f>E48+D49</f>
        <v>17651</v>
      </c>
      <c r="F49" s="21">
        <f>Contributions!D81+Contributions!D98</f>
        <v>12861</v>
      </c>
      <c r="G49" s="21">
        <f>G48+F49</f>
        <v>0</v>
      </c>
      <c r="H49" s="21">
        <f>Contributions!E81+Contributions!E98</f>
        <v>136</v>
      </c>
      <c r="I49" s="21">
        <f>I48+H49</f>
        <v>19662</v>
      </c>
      <c r="J49" s="21">
        <f>Contributions!F81+Contributions!F98</f>
        <v>0</v>
      </c>
      <c r="K49" s="21">
        <f>K48+J49</f>
        <v>0</v>
      </c>
      <c r="L49" s="21">
        <f>Contributions!G81+Contributions!G98</f>
        <v>0</v>
      </c>
      <c r="M49" s="21">
        <f>M48+L49</f>
        <v>0</v>
      </c>
      <c r="N49" s="21">
        <f>Contributions!H81+Contributions!H98</f>
        <v>82</v>
      </c>
      <c r="O49" s="21">
        <f>O48+N49</f>
        <v>11762</v>
      </c>
      <c r="P49" s="21">
        <f>Contributions!I81+Contributions!I98</f>
        <v>0</v>
      </c>
      <c r="Q49" s="21">
        <f>Q48+P49</f>
        <v>0</v>
      </c>
      <c r="R49" s="21">
        <f>C49+E49+G49+I49+K49+M49+Q49</f>
        <v>91605</v>
      </c>
      <c r="S49" s="17">
        <f>C49+E49+G49+I49+K49+M49+O49+Q49</f>
        <v>103367</v>
      </c>
    </row>
    <row r="50">
      <c r="A50" t="inlineStr">
        <is>
          <t>FY2037</t>
        </is>
      </c>
      <c r="B50" s="21">
        <f>Contributions!B82+Contributions!B99</f>
        <v>380</v>
      </c>
      <c r="C50" s="21">
        <f>C49+B50</f>
        <v>54672</v>
      </c>
      <c r="D50" s="21">
        <f>Contributions!C82+Contributions!C99</f>
        <v>124</v>
      </c>
      <c r="E50" s="21">
        <f>E49+D50</f>
        <v>17775</v>
      </c>
      <c r="F50" s="21">
        <f>Contributions!D82+Contributions!D99</f>
        <v>0</v>
      </c>
      <c r="G50" s="21">
        <f>G49+F50</f>
        <v>0</v>
      </c>
      <c r="H50" s="21">
        <f>Contributions!E82+Contributions!E99</f>
        <v>138</v>
      </c>
      <c r="I50" s="21">
        <f>I49+H50</f>
        <v>19800</v>
      </c>
      <c r="J50" s="21">
        <f>Contributions!F82+Contributions!F99</f>
        <v>0</v>
      </c>
      <c r="K50" s="21">
        <f>K49+J50</f>
        <v>0</v>
      </c>
      <c r="L50" s="21">
        <f>Contributions!G82+Contributions!G99</f>
        <v>68592</v>
      </c>
      <c r="M50" s="21">
        <f>M49+L50</f>
        <v>68592</v>
      </c>
      <c r="N50" s="21">
        <f>Contributions!H82+Contributions!H99</f>
        <v>82</v>
      </c>
      <c r="O50" s="21">
        <f>O49+N50</f>
        <v>11844</v>
      </c>
      <c r="P50" s="21">
        <f>Contributions!I82+Contributions!I99</f>
        <v>0</v>
      </c>
      <c r="Q50" s="21">
        <f>Q49+P50</f>
        <v>0</v>
      </c>
      <c r="R50" s="21">
        <f>C50+E50+G50+I50+K50+M50+Q50</f>
        <v>160839</v>
      </c>
      <c r="S50" s="17">
        <f>C50+E50+G50+I50+K50+M50+O50+Q50</f>
        <v>172683</v>
      </c>
    </row>
    <row r="51">
      <c r="A51" t="inlineStr">
        <is>
          <t>FY2038</t>
        </is>
      </c>
      <c r="B51" s="21">
        <f>Contributions!B83+Contributions!B100</f>
        <v>382</v>
      </c>
      <c r="C51" s="21">
        <f>C50+B51</f>
        <v>55054</v>
      </c>
      <c r="D51" s="21">
        <f>Contributions!C83+Contributions!C100</f>
        <v>124</v>
      </c>
      <c r="E51" s="21">
        <f>E50+D51</f>
        <v>17899</v>
      </c>
      <c r="F51" s="21">
        <f>Contributions!D83+Contributions!D100</f>
        <v>0</v>
      </c>
      <c r="G51" s="21">
        <f>G50+F51</f>
        <v>0</v>
      </c>
      <c r="H51" s="21">
        <f>Contributions!E83+Contributions!E100</f>
        <v>139</v>
      </c>
      <c r="I51" s="21">
        <f>I50+H51</f>
        <v>19939</v>
      </c>
      <c r="J51" s="21">
        <f>Contributions!F83+Contributions!F100</f>
        <v>0</v>
      </c>
      <c r="K51" s="21">
        <f>K50+J51</f>
        <v>0</v>
      </c>
      <c r="L51" s="21">
        <f>Contributions!G83+Contributions!G100</f>
        <v>21410</v>
      </c>
      <c r="M51" s="21">
        <f>M50+L51</f>
        <v>90002</v>
      </c>
      <c r="N51" s="21">
        <f>Contributions!H83+Contributions!H100</f>
        <v>83</v>
      </c>
      <c r="O51" s="21">
        <f>O50+N51</f>
        <v>11927</v>
      </c>
      <c r="P51" s="21">
        <f>Contributions!I83+Contributions!I100</f>
        <v>0</v>
      </c>
      <c r="Q51" s="21">
        <f>Q50+P51</f>
        <v>0</v>
      </c>
      <c r="R51" s="21">
        <f>C51+E51+G51+I51+K51+M51+Q51</f>
        <v>182894</v>
      </c>
      <c r="S51" s="17">
        <f>C51+E51+G51+I51+K51+M51+O51+Q51</f>
        <v>194821</v>
      </c>
    </row>
    <row r="52">
      <c r="A52" t="inlineStr">
        <is>
          <t>FY2039</t>
        </is>
      </c>
      <c r="B52" s="21">
        <f>Contributions!B84+Contributions!B101</f>
        <v>386</v>
      </c>
      <c r="C52" s="21">
        <f>C51+B52</f>
        <v>55440</v>
      </c>
      <c r="D52" s="21">
        <f>Contributions!C84+Contributions!C101</f>
        <v>125</v>
      </c>
      <c r="E52" s="21">
        <f>E51+D52</f>
        <v>18024</v>
      </c>
      <c r="F52" s="21">
        <f>Contributions!D84+Contributions!D101</f>
        <v>0</v>
      </c>
      <c r="G52" s="21">
        <f>G51+F52</f>
        <v>0</v>
      </c>
      <c r="H52" s="21">
        <f>Contributions!E84+Contributions!E101</f>
        <v>139</v>
      </c>
      <c r="I52" s="21">
        <f>I51+H52</f>
        <v>20078</v>
      </c>
      <c r="J52" s="21">
        <f>Contributions!F84+Contributions!F101</f>
        <v>0</v>
      </c>
      <c r="K52" s="21">
        <f>K51+J52</f>
        <v>0</v>
      </c>
      <c r="L52" s="21">
        <f>Contributions!G84+Contributions!G101</f>
        <v>-46735</v>
      </c>
      <c r="M52" s="21">
        <f>M51+L52</f>
        <v>43267</v>
      </c>
      <c r="N52" s="21">
        <f>Contributions!H84+Contributions!H101</f>
        <v>84</v>
      </c>
      <c r="O52" s="21">
        <f>O51+N52</f>
        <v>12011</v>
      </c>
      <c r="P52" s="21">
        <f>Contributions!I84+Contributions!I101</f>
        <v>0</v>
      </c>
      <c r="Q52" s="21">
        <f>Q51+P52</f>
        <v>0</v>
      </c>
      <c r="R52" s="21">
        <f>C52+E52+G52+I52+K52+M52+Q52</f>
        <v>136809</v>
      </c>
      <c r="S52" s="17">
        <f>C52+E52+G52+I52+K52+M52+O52+Q52</f>
        <v>148820</v>
      </c>
    </row>
    <row r="53">
      <c r="A53" t="inlineStr">
        <is>
          <t>FY2040</t>
        </is>
      </c>
      <c r="B53" s="21">
        <f>Contributions!B85+Contributions!B102</f>
        <v>388</v>
      </c>
      <c r="C53" s="21">
        <f>C52+B53</f>
        <v>55828</v>
      </c>
      <c r="D53" s="21">
        <f>Contributions!C85+Contributions!C102</f>
        <v>126</v>
      </c>
      <c r="E53" s="21">
        <f>E52+D53</f>
        <v>18150</v>
      </c>
      <c r="F53" s="21">
        <f>Contributions!D85+Contributions!D102</f>
        <v>11371</v>
      </c>
      <c r="G53" s="21">
        <f>G52+F53</f>
        <v>11371</v>
      </c>
      <c r="H53" s="21">
        <f>Contributions!E85+Contributions!E102</f>
        <v>141</v>
      </c>
      <c r="I53" s="21">
        <f>I52+H53</f>
        <v>20219</v>
      </c>
      <c r="J53" s="21">
        <f>Contributions!F85+Contributions!F102</f>
        <v>0</v>
      </c>
      <c r="K53" s="21">
        <f>K52+J53</f>
        <v>0</v>
      </c>
      <c r="L53" s="21">
        <f>Contributions!G85+Contributions!G102</f>
        <v>-43267</v>
      </c>
      <c r="M53" s="21">
        <f>M52+L53</f>
        <v>0</v>
      </c>
      <c r="N53" s="21">
        <f>Contributions!H85+Contributions!H102</f>
        <v>84</v>
      </c>
      <c r="O53" s="21">
        <f>O52+N53</f>
        <v>12095</v>
      </c>
      <c r="P53" s="21">
        <f>Contributions!I85+Contributions!I102</f>
        <v>0</v>
      </c>
      <c r="Q53" s="21">
        <f>Q52+P53</f>
        <v>0</v>
      </c>
      <c r="R53" s="21">
        <f>C53+E53+G53+I53+K53+M53+Q53</f>
        <v>105568</v>
      </c>
      <c r="S53" s="17">
        <f>C53+E53+G53+I53+K53+M53+O53+Q53</f>
        <v>117663</v>
      </c>
    </row>
    <row r="54">
      <c r="A54" t="inlineStr">
        <is>
          <t>FY2041</t>
        </is>
      </c>
      <c r="B54" s="21">
        <f>Contributions!B86+Contributions!B103</f>
        <v>391</v>
      </c>
      <c r="C54" s="21">
        <f>C53+B54</f>
        <v>56219</v>
      </c>
      <c r="D54" s="21">
        <f>Contributions!C86+Contributions!C103</f>
        <v>127</v>
      </c>
      <c r="E54" s="21">
        <f>E53+D54</f>
        <v>18277</v>
      </c>
      <c r="F54" s="21">
        <f>Contributions!D86+Contributions!D103</f>
        <v>71318</v>
      </c>
      <c r="G54" s="21">
        <f>G53+F54</f>
        <v>82689</v>
      </c>
      <c r="H54" s="21">
        <f>Contributions!E86+Contributions!E103</f>
        <v>141</v>
      </c>
      <c r="I54" s="21">
        <f>I53+H54</f>
        <v>20360</v>
      </c>
      <c r="J54" s="21">
        <f>Contributions!F86+Contributions!F103</f>
        <v>163326</v>
      </c>
      <c r="K54" s="21">
        <f>K53+J54</f>
        <v>163326</v>
      </c>
      <c r="L54" s="21">
        <f>Contributions!G86+Contributions!G103</f>
        <v>0</v>
      </c>
      <c r="M54" s="21">
        <f>M53+L54</f>
        <v>0</v>
      </c>
      <c r="N54" s="21">
        <f>Contributions!H86+Contributions!H103</f>
        <v>84</v>
      </c>
      <c r="O54" s="21">
        <f>O53+N54</f>
        <v>12179</v>
      </c>
      <c r="P54" s="21">
        <f>Contributions!I86+Contributions!I103</f>
        <v>0</v>
      </c>
      <c r="Q54" s="21">
        <f>Q53+P54</f>
        <v>0</v>
      </c>
      <c r="R54" s="21">
        <f>C54+E54+G54+I54+K54+M54+Q54</f>
        <v>340871</v>
      </c>
      <c r="S54" s="17">
        <f>C54+E54+G54+I54+K54+M54+O54+Q54</f>
        <v>353050</v>
      </c>
    </row>
    <row r="55">
      <c r="A55" t="inlineStr">
        <is>
          <t>FY2042</t>
        </is>
      </c>
      <c r="B55" s="21">
        <f>Contributions!B87+Contributions!B104</f>
        <v>393</v>
      </c>
      <c r="C55" s="21">
        <f>C54+B55</f>
        <v>56612</v>
      </c>
      <c r="D55" s="21">
        <f>Contributions!C87+Contributions!C104</f>
        <v>128</v>
      </c>
      <c r="E55" s="21">
        <f>E54+D55</f>
        <v>18405</v>
      </c>
      <c r="F55" s="21">
        <f>Contributions!D87+Contributions!D104</f>
        <v>-24421</v>
      </c>
      <c r="G55" s="21">
        <f>G54+F55</f>
        <v>58268</v>
      </c>
      <c r="H55" s="21">
        <f>Contributions!E87+Contributions!E104</f>
        <v>143</v>
      </c>
      <c r="I55" s="21">
        <f>I54+H55</f>
        <v>20503</v>
      </c>
      <c r="J55" s="21">
        <f>Contributions!F87+Contributions!F104</f>
        <v>29867</v>
      </c>
      <c r="K55" s="21">
        <f>K54+J55</f>
        <v>193193</v>
      </c>
      <c r="L55" s="21">
        <f>Contributions!G87+Contributions!G104</f>
        <v>0</v>
      </c>
      <c r="M55" s="21">
        <f>M54+L55</f>
        <v>0</v>
      </c>
      <c r="N55" s="21">
        <f>Contributions!H87+Contributions!H104</f>
        <v>86</v>
      </c>
      <c r="O55" s="21">
        <f>O54+N55</f>
        <v>12265</v>
      </c>
      <c r="P55" s="21">
        <f>Contributions!I87+Contributions!I104</f>
        <v>0</v>
      </c>
      <c r="Q55" s="21">
        <f>Q54+P55</f>
        <v>0</v>
      </c>
      <c r="R55" s="21">
        <f>C55+E55+G55+I55+K55+M55+Q55</f>
        <v>346981</v>
      </c>
      <c r="S55" s="17">
        <f>C55+E55+G55+I55+K55+M55+O55+Q55</f>
        <v>359246</v>
      </c>
    </row>
    <row r="56">
      <c r="A56" s="16" t="inlineStr">
        <is>
          <t>Min balance</t>
        </is>
      </c>
      <c r="C56" s="21">
        <f>MIN(C41:C55)</f>
        <v>51345</v>
      </c>
      <c r="E56" s="21">
        <f>MIN(E41:E55)</f>
        <v>17285</v>
      </c>
      <c r="G56" s="21">
        <f>MIN(G41:G55)</f>
        <v>-12861</v>
      </c>
      <c r="I56" s="21">
        <f>MIN(I41:I55)</f>
        <v>18595</v>
      </c>
      <c r="K56" s="21">
        <f>MIN(K41:K55)</f>
        <v>-9775</v>
      </c>
      <c r="M56" s="21">
        <f>MIN(M41:M55)</f>
        <v>-4316</v>
      </c>
      <c r="O56" s="21">
        <f>MIN(O41:O55)</f>
        <v>11280</v>
      </c>
      <c r="Q56" s="21">
        <f>MIN(Q41:Q55)</f>
        <v>0</v>
      </c>
      <c r="S56" s="17">
        <f>MIN(C56,E56,G56,I56,K56,M56,O56,Q56)</f>
        <v>-12861</v>
      </c>
    </row>
    <row r="57">
      <c r="B57" s="6" t="inlineStr">
        <is>
          <t>small purchases (≤$15,000) are cash-flowed in-fund; a dip is a payable within a −$15,000 tolerance, never new borrowing — the Summary check row flags anything beyond it</t>
        </is>
      </c>
    </row>
    <row r="58">
      <c r="A58" s="4" t="inlineStr">
        <is>
          <t>Break even by 2042 ($500k/yr)</t>
        </is>
      </c>
    </row>
    <row r="59">
      <c r="A59" s="14" t="inlineStr">
        <is>
          <t>Fiscal year</t>
        </is>
      </c>
      <c r="B59" s="14" t="inlineStr">
        <is>
          <t>Bridge net</t>
        </is>
      </c>
      <c r="C59" s="14" t="inlineStr">
        <is>
          <t>Bridge bal</t>
        </is>
      </c>
      <c r="D59" s="14" t="inlineStr">
        <is>
          <t>Garage net</t>
        </is>
      </c>
      <c r="E59" s="14" t="inlineStr">
        <is>
          <t>Garage bal</t>
        </is>
      </c>
      <c r="F59" s="14" t="inlineStr">
        <is>
          <t>Town Hall net</t>
        </is>
      </c>
      <c r="G59" s="14" t="inlineStr">
        <is>
          <t>Town Hall bal</t>
        </is>
      </c>
      <c r="H59" s="14" t="inlineStr">
        <is>
          <t>Courts net</t>
        </is>
      </c>
      <c r="I59" s="14" t="inlineStr">
        <is>
          <t>Courts bal</t>
        </is>
      </c>
      <c r="J59" s="14" t="inlineStr">
        <is>
          <t>A&amp;E net</t>
        </is>
      </c>
      <c r="K59" s="14" t="inlineStr">
        <is>
          <t>A&amp;E bal</t>
        </is>
      </c>
      <c r="L59" s="14" t="inlineStr">
        <is>
          <t>Paving net</t>
        </is>
      </c>
      <c r="M59" s="14" t="inlineStr">
        <is>
          <t>Paving bal</t>
        </is>
      </c>
      <c r="N59" s="14" t="inlineStr">
        <is>
          <t>Proceeds net</t>
        </is>
      </c>
      <c r="O59" s="14" t="inlineStr">
        <is>
          <t>Proceeds bal</t>
        </is>
      </c>
      <c r="P59" s="14" t="inlineStr">
        <is>
          <t>Cap Reserve net</t>
        </is>
      </c>
      <c r="Q59" s="14" t="inlineStr">
        <is>
          <t>Cap Reserve bal</t>
        </is>
      </c>
      <c r="R59" s="14" t="inlineStr">
        <is>
          <t>Reserve funds</t>
        </is>
      </c>
      <c r="S59" s="14" t="inlineStr">
        <is>
          <t>Reserve funds + bond proceeds</t>
        </is>
      </c>
    </row>
    <row r="60">
      <c r="A60" t="inlineStr">
        <is>
          <t>FY2028</t>
        </is>
      </c>
      <c r="B60" s="21">
        <f>Contributions!B108+Contributions!B125</f>
        <v>357</v>
      </c>
      <c r="C60" s="21">
        <f>Inputs!$B$28+B60</f>
        <v>51345</v>
      </c>
      <c r="D60" s="21">
        <f>Contributions!C108+Contributions!C125</f>
        <v>-10750</v>
      </c>
      <c r="E60" s="21">
        <f>Inputs!$B$29+D60</f>
        <v>24902</v>
      </c>
      <c r="F60" s="21">
        <f>Contributions!D108+Contributions!D125</f>
        <v>656</v>
      </c>
      <c r="G60" s="21">
        <f>Inputs!$B$30+F60</f>
        <v>94385</v>
      </c>
      <c r="H60" s="21">
        <f>Contributions!E108+Contributions!E125</f>
        <v>129</v>
      </c>
      <c r="I60" s="21">
        <f>Inputs!$B$31+H60</f>
        <v>18595</v>
      </c>
      <c r="J60" s="21">
        <f>Contributions!F108+Contributions!F125</f>
        <v>-103889</v>
      </c>
      <c r="K60" s="21">
        <f>Inputs!$B$32+J60</f>
        <v>-3426</v>
      </c>
      <c r="L60" s="21">
        <f>Contributions!G108+Contributions!G125</f>
        <v>-42359</v>
      </c>
      <c r="M60" s="21">
        <f>Inputs!$B$33+L60</f>
        <v>0</v>
      </c>
      <c r="N60" s="21">
        <f>Contributions!H108+Contributions!H125</f>
        <v>1183807</v>
      </c>
      <c r="O60" s="21">
        <f>0+N60</f>
        <v>1183807</v>
      </c>
      <c r="P60" s="21">
        <f>Contributions!I108+Contributions!I125</f>
        <v>0</v>
      </c>
      <c r="Q60" s="21">
        <f>0+P60</f>
        <v>0</v>
      </c>
      <c r="R60" s="21">
        <f>C60+E60+G60+I60+K60+M60+Q60</f>
        <v>185801</v>
      </c>
      <c r="S60" s="17">
        <f>C60+E60+G60+I60+K60+M60+O60+Q60</f>
        <v>1369608</v>
      </c>
    </row>
    <row r="61">
      <c r="A61" t="inlineStr">
        <is>
          <t>FY2029</t>
        </is>
      </c>
      <c r="B61" s="21">
        <f>Contributions!B109+Contributions!B126</f>
        <v>359</v>
      </c>
      <c r="C61" s="21">
        <f>C60+B61</f>
        <v>51704</v>
      </c>
      <c r="D61" s="21">
        <f>Contributions!C109+Contributions!C126</f>
        <v>174</v>
      </c>
      <c r="E61" s="21">
        <f>E60+D61</f>
        <v>25076</v>
      </c>
      <c r="F61" s="21">
        <f>Contributions!D109+Contributions!D126</f>
        <v>-19339</v>
      </c>
      <c r="G61" s="21">
        <f>G60+F61</f>
        <v>75046</v>
      </c>
      <c r="H61" s="21">
        <f>Contributions!E109+Contributions!E126</f>
        <v>130</v>
      </c>
      <c r="I61" s="21">
        <f>I60+H61</f>
        <v>18725</v>
      </c>
      <c r="J61" s="21">
        <f>Contributions!F109+Contributions!F126</f>
        <v>3426</v>
      </c>
      <c r="K61" s="21">
        <f>K60+J61</f>
        <v>0</v>
      </c>
      <c r="L61" s="21">
        <f>Contributions!G109+Contributions!G126</f>
        <v>0</v>
      </c>
      <c r="M61" s="21">
        <f>M60+L61</f>
        <v>0</v>
      </c>
      <c r="N61" s="21">
        <f>Contributions!H109+Contributions!H126</f>
        <v>8287</v>
      </c>
      <c r="O61" s="21">
        <f>O60+N61</f>
        <v>1192094</v>
      </c>
      <c r="P61" s="21">
        <f>Contributions!I109+Contributions!I126</f>
        <v>0</v>
      </c>
      <c r="Q61" s="21">
        <f>Q60+P61</f>
        <v>0</v>
      </c>
      <c r="R61" s="21">
        <f>C61+E61+G61+I61+K61+M61+Q61</f>
        <v>170551</v>
      </c>
      <c r="S61" s="17">
        <f>C61+E61+G61+I61+K61+M61+O61+Q61</f>
        <v>1362645</v>
      </c>
    </row>
    <row r="62">
      <c r="A62" t="inlineStr">
        <is>
          <t>FY2030</t>
        </is>
      </c>
      <c r="B62" s="21">
        <f>Contributions!B110+Contributions!B127</f>
        <v>362</v>
      </c>
      <c r="C62" s="21">
        <f>C61+B62</f>
        <v>52066</v>
      </c>
      <c r="D62" s="21">
        <f>Contributions!C110+Contributions!C127</f>
        <v>175</v>
      </c>
      <c r="E62" s="21">
        <f>E61+D62</f>
        <v>25251</v>
      </c>
      <c r="F62" s="21">
        <f>Contributions!D110+Contributions!D127</f>
        <v>-24475</v>
      </c>
      <c r="G62" s="21">
        <f>G61+F62</f>
        <v>50571</v>
      </c>
      <c r="H62" s="21">
        <f>Contributions!E110+Contributions!E127</f>
        <v>132</v>
      </c>
      <c r="I62" s="21">
        <f>I61+H62</f>
        <v>18857</v>
      </c>
      <c r="J62" s="21">
        <f>Contributions!F110+Contributions!F127</f>
        <v>0</v>
      </c>
      <c r="K62" s="21">
        <f>K61+J62</f>
        <v>0</v>
      </c>
      <c r="L62" s="21">
        <f>Contributions!G110+Contributions!G127</f>
        <v>0</v>
      </c>
      <c r="M62" s="21">
        <f>M61+L62</f>
        <v>0</v>
      </c>
      <c r="N62" s="21">
        <f>Contributions!H110+Contributions!H127</f>
        <v>-794546</v>
      </c>
      <c r="O62" s="21">
        <f>O61+N62</f>
        <v>397548</v>
      </c>
      <c r="P62" s="21">
        <f>Contributions!I110+Contributions!I127</f>
        <v>0</v>
      </c>
      <c r="Q62" s="21">
        <f>Q61+P62</f>
        <v>0</v>
      </c>
      <c r="R62" s="21">
        <f>C62+E62+G62+I62+K62+M62+Q62</f>
        <v>146745</v>
      </c>
      <c r="S62" s="17">
        <f>C62+E62+G62+I62+K62+M62+O62+Q62</f>
        <v>544293</v>
      </c>
    </row>
    <row r="63">
      <c r="A63" t="inlineStr">
        <is>
          <t>FY2031</t>
        </is>
      </c>
      <c r="B63" s="21">
        <f>Contributions!B111+Contributions!B128</f>
        <v>365</v>
      </c>
      <c r="C63" s="21">
        <f>C62+B63</f>
        <v>52431</v>
      </c>
      <c r="D63" s="21">
        <f>Contributions!C111+Contributions!C128</f>
        <v>177</v>
      </c>
      <c r="E63" s="21">
        <f>E62+D63</f>
        <v>25428</v>
      </c>
      <c r="F63" s="21">
        <f>Contributions!D111+Contributions!D128</f>
        <v>-19646</v>
      </c>
      <c r="G63" s="21">
        <f>G62+F63</f>
        <v>30925</v>
      </c>
      <c r="H63" s="21">
        <f>Contributions!E111+Contributions!E128</f>
        <v>132</v>
      </c>
      <c r="I63" s="21">
        <f>I62+H63</f>
        <v>18989</v>
      </c>
      <c r="J63" s="21">
        <f>Contributions!F111+Contributions!F128</f>
        <v>0</v>
      </c>
      <c r="K63" s="21">
        <f>K62+J63</f>
        <v>0</v>
      </c>
      <c r="L63" s="21">
        <f>Contributions!G111+Contributions!G128</f>
        <v>0</v>
      </c>
      <c r="M63" s="21">
        <f>M62+L63</f>
        <v>0</v>
      </c>
      <c r="N63" s="21">
        <f>Contributions!H111+Contributions!H128</f>
        <v>-378134</v>
      </c>
      <c r="O63" s="21">
        <f>O62+N63</f>
        <v>19414</v>
      </c>
      <c r="P63" s="21">
        <f>Contributions!I111+Contributions!I128</f>
        <v>0</v>
      </c>
      <c r="Q63" s="21">
        <f>Q62+P63</f>
        <v>0</v>
      </c>
      <c r="R63" s="21">
        <f>C63+E63+G63+I63+K63+M63+Q63</f>
        <v>127773</v>
      </c>
      <c r="S63" s="17">
        <f>C63+E63+G63+I63+K63+M63+O63+Q63</f>
        <v>147187</v>
      </c>
    </row>
    <row r="64">
      <c r="A64" t="inlineStr">
        <is>
          <t>FY2032</t>
        </is>
      </c>
      <c r="B64" s="21">
        <f>Contributions!B112+Contributions!B129</f>
        <v>367</v>
      </c>
      <c r="C64" s="21">
        <f>C63+B64</f>
        <v>52798</v>
      </c>
      <c r="D64" s="21">
        <f>Contributions!C112+Contributions!C129</f>
        <v>178</v>
      </c>
      <c r="E64" s="21">
        <f>E63+D64</f>
        <v>25606</v>
      </c>
      <c r="F64" s="21">
        <f>Contributions!D112+Contributions!D129</f>
        <v>-28783</v>
      </c>
      <c r="G64" s="21">
        <f>G63+F64</f>
        <v>2142</v>
      </c>
      <c r="H64" s="21">
        <f>Contributions!E112+Contributions!E129</f>
        <v>132</v>
      </c>
      <c r="I64" s="21">
        <f>I63+H64</f>
        <v>19121</v>
      </c>
      <c r="J64" s="21">
        <f>Contributions!F112+Contributions!F129</f>
        <v>50217</v>
      </c>
      <c r="K64" s="21">
        <f>K63+J64</f>
        <v>50217</v>
      </c>
      <c r="L64" s="21">
        <f>Contributions!G112+Contributions!G129</f>
        <v>0</v>
      </c>
      <c r="M64" s="21">
        <f>M63+L64</f>
        <v>0</v>
      </c>
      <c r="N64" s="21">
        <f>Contributions!H112+Contributions!H129</f>
        <v>136</v>
      </c>
      <c r="O64" s="21">
        <f>O63+N64</f>
        <v>19550</v>
      </c>
      <c r="P64" s="21">
        <f>Contributions!I112+Contributions!I129</f>
        <v>0</v>
      </c>
      <c r="Q64" s="21">
        <f>Q63+P64</f>
        <v>0</v>
      </c>
      <c r="R64" s="21">
        <f>C64+E64+G64+I64+K64+M64+Q64</f>
        <v>149884</v>
      </c>
      <c r="S64" s="17">
        <f>C64+E64+G64+I64+K64+M64+O64+Q64</f>
        <v>169434</v>
      </c>
    </row>
    <row r="65">
      <c r="A65" t="inlineStr">
        <is>
          <t>FY2033</t>
        </is>
      </c>
      <c r="B65" s="21">
        <f>Contributions!B113+Contributions!B130</f>
        <v>369</v>
      </c>
      <c r="C65" s="21">
        <f>C64+B65</f>
        <v>53167</v>
      </c>
      <c r="D65" s="21">
        <f>Contributions!C113+Contributions!C130</f>
        <v>-8321</v>
      </c>
      <c r="E65" s="21">
        <f>E64+D65</f>
        <v>17285</v>
      </c>
      <c r="F65" s="21">
        <f>Contributions!D113+Contributions!D130</f>
        <v>5136</v>
      </c>
      <c r="G65" s="21">
        <f>G64+F65</f>
        <v>7278</v>
      </c>
      <c r="H65" s="21">
        <f>Contributions!E113+Contributions!E130</f>
        <v>134</v>
      </c>
      <c r="I65" s="21">
        <f>I64+H65</f>
        <v>19255</v>
      </c>
      <c r="J65" s="21">
        <f>Contributions!F113+Contributions!F130</f>
        <v>47033</v>
      </c>
      <c r="K65" s="21">
        <f>K64+J65</f>
        <v>97250</v>
      </c>
      <c r="L65" s="21">
        <f>Contributions!G113+Contributions!G130</f>
        <v>0</v>
      </c>
      <c r="M65" s="21">
        <f>M64+L65</f>
        <v>0</v>
      </c>
      <c r="N65" s="21">
        <f>Contributions!H113+Contributions!H130</f>
        <v>137</v>
      </c>
      <c r="O65" s="21">
        <f>O64+N65</f>
        <v>19687</v>
      </c>
      <c r="P65" s="21">
        <f>Contributions!I113+Contributions!I130</f>
        <v>0</v>
      </c>
      <c r="Q65" s="21">
        <f>Q64+P65</f>
        <v>0</v>
      </c>
      <c r="R65" s="21">
        <f>C65+E65+G65+I65+K65+M65+Q65</f>
        <v>194235</v>
      </c>
      <c r="S65" s="17">
        <f>C65+E65+G65+I65+K65+M65+O65+Q65</f>
        <v>213922</v>
      </c>
    </row>
    <row r="66">
      <c r="A66" t="inlineStr">
        <is>
          <t>FY2034</t>
        </is>
      </c>
      <c r="B66" s="21">
        <f>Contributions!B114+Contributions!B131</f>
        <v>372</v>
      </c>
      <c r="C66" s="21">
        <f>C65+B66</f>
        <v>53539</v>
      </c>
      <c r="D66" s="21">
        <f>Contributions!C114+Contributions!C131</f>
        <v>121</v>
      </c>
      <c r="E66" s="21">
        <f>E65+D66</f>
        <v>17406</v>
      </c>
      <c r="F66" s="21">
        <f>Contributions!D114+Contributions!D131</f>
        <v>3529</v>
      </c>
      <c r="G66" s="21">
        <f>G65+F66</f>
        <v>10807</v>
      </c>
      <c r="H66" s="21">
        <f>Contributions!E114+Contributions!E131</f>
        <v>135</v>
      </c>
      <c r="I66" s="21">
        <f>I65+H66</f>
        <v>19390</v>
      </c>
      <c r="J66" s="21">
        <f>Contributions!F114+Contributions!F131</f>
        <v>84950</v>
      </c>
      <c r="K66" s="21">
        <f>K65+J66</f>
        <v>182200</v>
      </c>
      <c r="L66" s="21">
        <f>Contributions!G114+Contributions!G131</f>
        <v>0</v>
      </c>
      <c r="M66" s="21">
        <f>M65+L66</f>
        <v>0</v>
      </c>
      <c r="N66" s="21">
        <f>Contributions!H114+Contributions!H131</f>
        <v>138</v>
      </c>
      <c r="O66" s="21">
        <f>O65+N66</f>
        <v>19825</v>
      </c>
      <c r="P66" s="21">
        <f>Contributions!I114+Contributions!I131</f>
        <v>0</v>
      </c>
      <c r="Q66" s="21">
        <f>Q65+P66</f>
        <v>0</v>
      </c>
      <c r="R66" s="21">
        <f>C66+E66+G66+I66+K66+M66+Q66</f>
        <v>283342</v>
      </c>
      <c r="S66" s="17">
        <f>C66+E66+G66+I66+K66+M66+O66+Q66</f>
        <v>303167</v>
      </c>
    </row>
    <row r="67">
      <c r="A67" t="inlineStr">
        <is>
          <t>FY2035</t>
        </is>
      </c>
      <c r="B67" s="21">
        <f>Contributions!B115+Contributions!B132</f>
        <v>375</v>
      </c>
      <c r="C67" s="21">
        <f>C66+B67</f>
        <v>53914</v>
      </c>
      <c r="D67" s="21">
        <f>Contributions!C115+Contributions!C132</f>
        <v>122</v>
      </c>
      <c r="E67" s="21">
        <f>E66+D67</f>
        <v>17528</v>
      </c>
      <c r="F67" s="21">
        <f>Contributions!D115+Contributions!D132</f>
        <v>-17045</v>
      </c>
      <c r="G67" s="21">
        <f>G66+F67</f>
        <v>-6238</v>
      </c>
      <c r="H67" s="21">
        <f>Contributions!E115+Contributions!E132</f>
        <v>136</v>
      </c>
      <c r="I67" s="21">
        <f>I66+H67</f>
        <v>19526</v>
      </c>
      <c r="J67" s="21">
        <f>Contributions!F115+Contributions!F132</f>
        <v>-182200</v>
      </c>
      <c r="K67" s="21">
        <f>K66+J67</f>
        <v>0</v>
      </c>
      <c r="L67" s="21">
        <f>Contributions!G115+Contributions!G132</f>
        <v>0</v>
      </c>
      <c r="M67" s="21">
        <f>M66+L67</f>
        <v>0</v>
      </c>
      <c r="N67" s="21">
        <f>Contributions!H115+Contributions!H132</f>
        <v>137</v>
      </c>
      <c r="O67" s="21">
        <f>O66+N67</f>
        <v>19962</v>
      </c>
      <c r="P67" s="21">
        <f>Contributions!I115+Contributions!I132</f>
        <v>0</v>
      </c>
      <c r="Q67" s="21">
        <f>Q66+P67</f>
        <v>0</v>
      </c>
      <c r="R67" s="21">
        <f>C67+E67+G67+I67+K67+M67+Q67</f>
        <v>84730</v>
      </c>
      <c r="S67" s="17">
        <f>C67+E67+G67+I67+K67+M67+O67+Q67</f>
        <v>104692</v>
      </c>
    </row>
    <row r="68">
      <c r="A68" t="inlineStr">
        <is>
          <t>FY2036</t>
        </is>
      </c>
      <c r="B68" s="21">
        <f>Contributions!B116+Contributions!B133</f>
        <v>378</v>
      </c>
      <c r="C68" s="21">
        <f>C67+B68</f>
        <v>54292</v>
      </c>
      <c r="D68" s="21">
        <f>Contributions!C116+Contributions!C133</f>
        <v>123</v>
      </c>
      <c r="E68" s="21">
        <f>E67+D68</f>
        <v>17651</v>
      </c>
      <c r="F68" s="21">
        <f>Contributions!D116+Contributions!D133</f>
        <v>6238</v>
      </c>
      <c r="G68" s="21">
        <f>G67+F68</f>
        <v>0</v>
      </c>
      <c r="H68" s="21">
        <f>Contributions!E116+Contributions!E133</f>
        <v>136</v>
      </c>
      <c r="I68" s="21">
        <f>I67+H68</f>
        <v>19662</v>
      </c>
      <c r="J68" s="21">
        <f>Contributions!F116+Contributions!F133</f>
        <v>0</v>
      </c>
      <c r="K68" s="21">
        <f>K67+J68</f>
        <v>0</v>
      </c>
      <c r="L68" s="21">
        <f>Contributions!G116+Contributions!G133</f>
        <v>0</v>
      </c>
      <c r="M68" s="21">
        <f>M67+L68</f>
        <v>0</v>
      </c>
      <c r="N68" s="21">
        <f>Contributions!H116+Contributions!H133</f>
        <v>140</v>
      </c>
      <c r="O68" s="21">
        <f>O67+N68</f>
        <v>20102</v>
      </c>
      <c r="P68" s="21">
        <f>Contributions!I116+Contributions!I133</f>
        <v>0</v>
      </c>
      <c r="Q68" s="21">
        <f>Q67+P68</f>
        <v>0</v>
      </c>
      <c r="R68" s="21">
        <f>C68+E68+G68+I68+K68+M68+Q68</f>
        <v>91605</v>
      </c>
      <c r="S68" s="17">
        <f>C68+E68+G68+I68+K68+M68+O68+Q68</f>
        <v>111707</v>
      </c>
    </row>
    <row r="69">
      <c r="A69" t="inlineStr">
        <is>
          <t>FY2037</t>
        </is>
      </c>
      <c r="B69" s="21">
        <f>Contributions!B117+Contributions!B134</f>
        <v>380</v>
      </c>
      <c r="C69" s="21">
        <f>C68+B69</f>
        <v>54672</v>
      </c>
      <c r="D69" s="21">
        <f>Contributions!C117+Contributions!C134</f>
        <v>124</v>
      </c>
      <c r="E69" s="21">
        <f>E68+D69</f>
        <v>17775</v>
      </c>
      <c r="F69" s="21">
        <f>Contributions!D117+Contributions!D134</f>
        <v>0</v>
      </c>
      <c r="G69" s="21">
        <f>G68+F69</f>
        <v>0</v>
      </c>
      <c r="H69" s="21">
        <f>Contributions!E117+Contributions!E134</f>
        <v>138</v>
      </c>
      <c r="I69" s="21">
        <f>I68+H69</f>
        <v>19800</v>
      </c>
      <c r="J69" s="21">
        <f>Contributions!F117+Contributions!F134</f>
        <v>0</v>
      </c>
      <c r="K69" s="21">
        <f>K68+J69</f>
        <v>0</v>
      </c>
      <c r="L69" s="21">
        <f>Contributions!G117+Contributions!G134</f>
        <v>66221</v>
      </c>
      <c r="M69" s="21">
        <f>M68+L69</f>
        <v>66221</v>
      </c>
      <c r="N69" s="21">
        <f>Contributions!H117+Contributions!H134</f>
        <v>141</v>
      </c>
      <c r="O69" s="21">
        <f>O68+N69</f>
        <v>20243</v>
      </c>
      <c r="P69" s="21">
        <f>Contributions!I117+Contributions!I134</f>
        <v>0</v>
      </c>
      <c r="Q69" s="21">
        <f>Q68+P69</f>
        <v>0</v>
      </c>
      <c r="R69" s="21">
        <f>C69+E69+G69+I69+K69+M69+Q69</f>
        <v>158468</v>
      </c>
      <c r="S69" s="17">
        <f>C69+E69+G69+I69+K69+M69+O69+Q69</f>
        <v>178711</v>
      </c>
    </row>
    <row r="70">
      <c r="A70" t="inlineStr">
        <is>
          <t>FY2038</t>
        </is>
      </c>
      <c r="B70" s="21">
        <f>Contributions!B118+Contributions!B135</f>
        <v>382</v>
      </c>
      <c r="C70" s="21">
        <f>C69+B70</f>
        <v>55054</v>
      </c>
      <c r="D70" s="21">
        <f>Contributions!C118+Contributions!C135</f>
        <v>124</v>
      </c>
      <c r="E70" s="21">
        <f>E69+D70</f>
        <v>17899</v>
      </c>
      <c r="F70" s="21">
        <f>Contributions!D118+Contributions!D135</f>
        <v>0</v>
      </c>
      <c r="G70" s="21">
        <f>G69+F70</f>
        <v>0</v>
      </c>
      <c r="H70" s="21">
        <f>Contributions!E118+Contributions!E135</f>
        <v>139</v>
      </c>
      <c r="I70" s="21">
        <f>I69+H70</f>
        <v>19939</v>
      </c>
      <c r="J70" s="21">
        <f>Contributions!F118+Contributions!F135</f>
        <v>0</v>
      </c>
      <c r="K70" s="21">
        <f>K69+J70</f>
        <v>0</v>
      </c>
      <c r="L70" s="21">
        <f>Contributions!G118+Contributions!G135</f>
        <v>20013</v>
      </c>
      <c r="M70" s="21">
        <f>M69+L70</f>
        <v>86234</v>
      </c>
      <c r="N70" s="21">
        <f>Contributions!H118+Contributions!H135</f>
        <v>141</v>
      </c>
      <c r="O70" s="21">
        <f>O69+N70</f>
        <v>20384</v>
      </c>
      <c r="P70" s="21">
        <f>Contributions!I118+Contributions!I135</f>
        <v>0</v>
      </c>
      <c r="Q70" s="21">
        <f>Q69+P70</f>
        <v>0</v>
      </c>
      <c r="R70" s="21">
        <f>C70+E70+G70+I70+K70+M70+Q70</f>
        <v>179126</v>
      </c>
      <c r="S70" s="17">
        <f>C70+E70+G70+I70+K70+M70+O70+Q70</f>
        <v>199510</v>
      </c>
    </row>
    <row r="71">
      <c r="A71" t="inlineStr">
        <is>
          <t>FY2039</t>
        </is>
      </c>
      <c r="B71" s="21">
        <f>Contributions!B119+Contributions!B136</f>
        <v>386</v>
      </c>
      <c r="C71" s="21">
        <f>C70+B71</f>
        <v>55440</v>
      </c>
      <c r="D71" s="21">
        <f>Contributions!C119+Contributions!C136</f>
        <v>125</v>
      </c>
      <c r="E71" s="21">
        <f>E70+D71</f>
        <v>18024</v>
      </c>
      <c r="F71" s="21">
        <f>Contributions!D119+Contributions!D136</f>
        <v>0</v>
      </c>
      <c r="G71" s="21">
        <f>G70+F71</f>
        <v>0</v>
      </c>
      <c r="H71" s="21">
        <f>Contributions!E119+Contributions!E136</f>
        <v>139</v>
      </c>
      <c r="I71" s="21">
        <f>I70+H71</f>
        <v>20078</v>
      </c>
      <c r="J71" s="21">
        <f>Contributions!F119+Contributions!F136</f>
        <v>0</v>
      </c>
      <c r="K71" s="21">
        <f>K70+J71</f>
        <v>0</v>
      </c>
      <c r="L71" s="21">
        <f>Contributions!G119+Contributions!G136</f>
        <v>-61653</v>
      </c>
      <c r="M71" s="21">
        <f>M70+L71</f>
        <v>24581</v>
      </c>
      <c r="N71" s="21">
        <f>Contributions!H119+Contributions!H136</f>
        <v>143</v>
      </c>
      <c r="O71" s="21">
        <f>O70+N71</f>
        <v>20527</v>
      </c>
      <c r="P71" s="21">
        <f>Contributions!I119+Contributions!I136</f>
        <v>0</v>
      </c>
      <c r="Q71" s="21">
        <f>Q70+P71</f>
        <v>0</v>
      </c>
      <c r="R71" s="21">
        <f>C71+E71+G71+I71+K71+M71+Q71</f>
        <v>118123</v>
      </c>
      <c r="S71" s="17">
        <f>C71+E71+G71+I71+K71+M71+O71+Q71</f>
        <v>138650</v>
      </c>
    </row>
    <row r="72">
      <c r="A72" t="inlineStr">
        <is>
          <t>FY2040</t>
        </is>
      </c>
      <c r="B72" s="21">
        <f>Contributions!B120+Contributions!B137</f>
        <v>388</v>
      </c>
      <c r="C72" s="21">
        <f>C71+B72</f>
        <v>55828</v>
      </c>
      <c r="D72" s="21">
        <f>Contributions!C120+Contributions!C137</f>
        <v>126</v>
      </c>
      <c r="E72" s="21">
        <f>E71+D72</f>
        <v>18150</v>
      </c>
      <c r="F72" s="21">
        <f>Contributions!D120+Contributions!D137</f>
        <v>8766</v>
      </c>
      <c r="G72" s="21">
        <f>G71+F72</f>
        <v>8766</v>
      </c>
      <c r="H72" s="21">
        <f>Contributions!E120+Contributions!E137</f>
        <v>141</v>
      </c>
      <c r="I72" s="21">
        <f>I71+H72</f>
        <v>20219</v>
      </c>
      <c r="J72" s="21">
        <f>Contributions!F120+Contributions!F137</f>
        <v>0</v>
      </c>
      <c r="K72" s="21">
        <f>K71+J72</f>
        <v>0</v>
      </c>
      <c r="L72" s="21">
        <f>Contributions!G120+Contributions!G137</f>
        <v>-24581</v>
      </c>
      <c r="M72" s="21">
        <f>M71+L72</f>
        <v>0</v>
      </c>
      <c r="N72" s="21">
        <f>Contributions!H120+Contributions!H137</f>
        <v>144</v>
      </c>
      <c r="O72" s="21">
        <f>O71+N72</f>
        <v>20671</v>
      </c>
      <c r="P72" s="21">
        <f>Contributions!I120+Contributions!I137</f>
        <v>0</v>
      </c>
      <c r="Q72" s="21">
        <f>Q71+P72</f>
        <v>0</v>
      </c>
      <c r="R72" s="21">
        <f>C72+E72+G72+I72+K72+M72+Q72</f>
        <v>102963</v>
      </c>
      <c r="S72" s="17">
        <f>C72+E72+G72+I72+K72+M72+O72+Q72</f>
        <v>123634</v>
      </c>
    </row>
    <row r="73">
      <c r="A73" t="inlineStr">
        <is>
          <t>FY2041</t>
        </is>
      </c>
      <c r="B73" s="21">
        <f>Contributions!B121+Contributions!B138</f>
        <v>391</v>
      </c>
      <c r="C73" s="21">
        <f>C72+B73</f>
        <v>56219</v>
      </c>
      <c r="D73" s="21">
        <f>Contributions!C121+Contributions!C138</f>
        <v>127</v>
      </c>
      <c r="E73" s="21">
        <f>E72+D73</f>
        <v>18277</v>
      </c>
      <c r="F73" s="21">
        <f>Contributions!D121+Contributions!D138</f>
        <v>74776</v>
      </c>
      <c r="G73" s="21">
        <f>G72+F73</f>
        <v>83542</v>
      </c>
      <c r="H73" s="21">
        <f>Contributions!E121+Contributions!E138</f>
        <v>141</v>
      </c>
      <c r="I73" s="21">
        <f>I72+H73</f>
        <v>20360</v>
      </c>
      <c r="J73" s="21">
        <f>Contributions!F121+Contributions!F138</f>
        <v>164364</v>
      </c>
      <c r="K73" s="21">
        <f>K72+J73</f>
        <v>164364</v>
      </c>
      <c r="L73" s="21">
        <f>Contributions!G121+Contributions!G138</f>
        <v>0</v>
      </c>
      <c r="M73" s="21">
        <f>M72+L73</f>
        <v>0</v>
      </c>
      <c r="N73" s="21">
        <f>Contributions!H121+Contributions!H138</f>
        <v>145</v>
      </c>
      <c r="O73" s="21">
        <f>O72+N73</f>
        <v>20816</v>
      </c>
      <c r="P73" s="21">
        <f>Contributions!I121+Contributions!I138</f>
        <v>0</v>
      </c>
      <c r="Q73" s="21">
        <f>Q72+P73</f>
        <v>0</v>
      </c>
      <c r="R73" s="21">
        <f>C73+E73+G73+I73+K73+M73+Q73</f>
        <v>342762</v>
      </c>
      <c r="S73" s="17">
        <f>C73+E73+G73+I73+K73+M73+O73+Q73</f>
        <v>363578</v>
      </c>
    </row>
    <row r="74">
      <c r="A74" t="inlineStr">
        <is>
          <t>FY2042</t>
        </is>
      </c>
      <c r="B74" s="21">
        <f>Contributions!B122+Contributions!B139</f>
        <v>393</v>
      </c>
      <c r="C74" s="21">
        <f>C73+B74</f>
        <v>56612</v>
      </c>
      <c r="D74" s="21">
        <f>Contributions!C122+Contributions!C139</f>
        <v>128</v>
      </c>
      <c r="E74" s="21">
        <f>E73+D74</f>
        <v>18405</v>
      </c>
      <c r="F74" s="21">
        <f>Contributions!D122+Contributions!D139</f>
        <v>-24415</v>
      </c>
      <c r="G74" s="21">
        <f>G73+F74</f>
        <v>59127</v>
      </c>
      <c r="H74" s="21">
        <f>Contributions!E122+Contributions!E139</f>
        <v>143</v>
      </c>
      <c r="I74" s="21">
        <f>I73+H74</f>
        <v>20503</v>
      </c>
      <c r="J74" s="21">
        <f>Contributions!F122+Contributions!F139</f>
        <v>26518</v>
      </c>
      <c r="K74" s="21">
        <f>K73+J74</f>
        <v>190882</v>
      </c>
      <c r="L74" s="21">
        <f>Contributions!G122+Contributions!G139</f>
        <v>0</v>
      </c>
      <c r="M74" s="21">
        <f>M73+L74</f>
        <v>0</v>
      </c>
      <c r="N74" s="21">
        <f>Contributions!H122+Contributions!H139</f>
        <v>145</v>
      </c>
      <c r="O74" s="21">
        <f>O73+N74</f>
        <v>20961</v>
      </c>
      <c r="P74" s="21">
        <f>Contributions!I122+Contributions!I139</f>
        <v>0</v>
      </c>
      <c r="Q74" s="21">
        <f>Q73+P74</f>
        <v>0</v>
      </c>
      <c r="R74" s="21">
        <f>C74+E74+G74+I74+K74+M74+Q74</f>
        <v>345529</v>
      </c>
      <c r="S74" s="17">
        <f>C74+E74+G74+I74+K74+M74+O74+Q74</f>
        <v>366490</v>
      </c>
    </row>
    <row r="75">
      <c r="A75" s="16" t="inlineStr">
        <is>
          <t>Min balance</t>
        </is>
      </c>
      <c r="C75" s="21">
        <f>MIN(C60:C74)</f>
        <v>51345</v>
      </c>
      <c r="E75" s="21">
        <f>MIN(E60:E74)</f>
        <v>17285</v>
      </c>
      <c r="G75" s="21">
        <f>MIN(G60:G74)</f>
        <v>-6238</v>
      </c>
      <c r="I75" s="21">
        <f>MIN(I60:I74)</f>
        <v>18595</v>
      </c>
      <c r="K75" s="21">
        <f>MIN(K60:K74)</f>
        <v>-3426</v>
      </c>
      <c r="M75" s="21">
        <f>MIN(M60:M74)</f>
        <v>0</v>
      </c>
      <c r="O75" s="21">
        <f>MIN(O60:O74)</f>
        <v>19414</v>
      </c>
      <c r="Q75" s="21">
        <f>MIN(Q60:Q74)</f>
        <v>0</v>
      </c>
      <c r="S75" s="17">
        <f>MIN(C75,E75,G75,I75,K75,M75,O75,Q75)</f>
        <v>-6238</v>
      </c>
    </row>
    <row r="76">
      <c r="B76" s="6" t="inlineStr">
        <is>
          <t>small purchases (≤$15,000) are cash-flowed in-fund; a dip is a payable within a −$15,000 tolerance, never new borrowing — the Summary check row flags anything beyond it</t>
        </is>
      </c>
    </row>
    <row r="77">
      <c r="A77" s="4" t="inlineStr">
        <is>
          <t>Step up to $530k/yr (by FY2030)</t>
        </is>
      </c>
    </row>
    <row r="78">
      <c r="A78" s="14" t="inlineStr">
        <is>
          <t>Fiscal year</t>
        </is>
      </c>
      <c r="B78" s="14" t="inlineStr">
        <is>
          <t>Bridge net</t>
        </is>
      </c>
      <c r="C78" s="14" t="inlineStr">
        <is>
          <t>Bridge bal</t>
        </is>
      </c>
      <c r="D78" s="14" t="inlineStr">
        <is>
          <t>Garage net</t>
        </is>
      </c>
      <c r="E78" s="14" t="inlineStr">
        <is>
          <t>Garage bal</t>
        </is>
      </c>
      <c r="F78" s="14" t="inlineStr">
        <is>
          <t>Town Hall net</t>
        </is>
      </c>
      <c r="G78" s="14" t="inlineStr">
        <is>
          <t>Town Hall bal</t>
        </is>
      </c>
      <c r="H78" s="14" t="inlineStr">
        <is>
          <t>Courts net</t>
        </is>
      </c>
      <c r="I78" s="14" t="inlineStr">
        <is>
          <t>Courts bal</t>
        </is>
      </c>
      <c r="J78" s="14" t="inlineStr">
        <is>
          <t>A&amp;E net</t>
        </is>
      </c>
      <c r="K78" s="14" t="inlineStr">
        <is>
          <t>A&amp;E bal</t>
        </is>
      </c>
      <c r="L78" s="14" t="inlineStr">
        <is>
          <t>Paving net</t>
        </is>
      </c>
      <c r="M78" s="14" t="inlineStr">
        <is>
          <t>Paving bal</t>
        </is>
      </c>
      <c r="N78" s="14" t="inlineStr">
        <is>
          <t>Proceeds net</t>
        </is>
      </c>
      <c r="O78" s="14" t="inlineStr">
        <is>
          <t>Proceeds bal</t>
        </is>
      </c>
      <c r="P78" s="14" t="inlineStr">
        <is>
          <t>Cap Reserve net</t>
        </is>
      </c>
      <c r="Q78" s="14" t="inlineStr">
        <is>
          <t>Cap Reserve bal</t>
        </is>
      </c>
      <c r="R78" s="14" t="inlineStr">
        <is>
          <t>Reserve funds</t>
        </is>
      </c>
      <c r="S78" s="14" t="inlineStr">
        <is>
          <t>Reserve funds + bond proceeds</t>
        </is>
      </c>
    </row>
    <row r="79">
      <c r="A79" t="inlineStr">
        <is>
          <t>FY2028</t>
        </is>
      </c>
      <c r="B79" s="21">
        <f>Contributions!B143+Contributions!B160</f>
        <v>357</v>
      </c>
      <c r="C79" s="21">
        <f>Inputs!$B$28+B79</f>
        <v>51345</v>
      </c>
      <c r="D79" s="21">
        <f>Contributions!C143+Contributions!C160</f>
        <v>-10750</v>
      </c>
      <c r="E79" s="21">
        <f>Inputs!$B$29+D79</f>
        <v>24902</v>
      </c>
      <c r="F79" s="21">
        <f>Contributions!D143+Contributions!D160</f>
        <v>656</v>
      </c>
      <c r="G79" s="21">
        <f>Inputs!$B$30+F79</f>
        <v>94385</v>
      </c>
      <c r="H79" s="21">
        <f>Contributions!E143+Contributions!E160</f>
        <v>129</v>
      </c>
      <c r="I79" s="21">
        <f>Inputs!$B$31+H79</f>
        <v>18595</v>
      </c>
      <c r="J79" s="21">
        <f>Contributions!F143+Contributions!F160</f>
        <v>-100463</v>
      </c>
      <c r="K79" s="21">
        <f>Inputs!$B$32+J79</f>
        <v>0</v>
      </c>
      <c r="L79" s="21">
        <f>Contributions!G143+Contributions!G160</f>
        <v>-42359</v>
      </c>
      <c r="M79" s="21">
        <f>Inputs!$B$33+L79</f>
        <v>0</v>
      </c>
      <c r="N79" s="21">
        <f>Contributions!H143+Contributions!H160</f>
        <v>1162010</v>
      </c>
      <c r="O79" s="21">
        <f>0+N79</f>
        <v>1162010</v>
      </c>
      <c r="P79" s="21">
        <f>Contributions!I143+Contributions!I160</f>
        <v>0</v>
      </c>
      <c r="Q79" s="21">
        <f>0+P79</f>
        <v>0</v>
      </c>
      <c r="R79" s="21">
        <f>C79+E79+G79+I79+K79+M79+Q79</f>
        <v>189227</v>
      </c>
      <c r="S79" s="17">
        <f>C79+E79+G79+I79+K79+M79+O79+Q79</f>
        <v>1351237</v>
      </c>
    </row>
    <row r="80">
      <c r="A80" t="inlineStr">
        <is>
          <t>FY2029</t>
        </is>
      </c>
      <c r="B80" s="21">
        <f>Contributions!B144+Contributions!B161</f>
        <v>359</v>
      </c>
      <c r="C80" s="21">
        <f>C79+B80</f>
        <v>51704</v>
      </c>
      <c r="D80" s="21">
        <f>Contributions!C144+Contributions!C161</f>
        <v>174</v>
      </c>
      <c r="E80" s="21">
        <f>E79+D80</f>
        <v>25076</v>
      </c>
      <c r="F80" s="21">
        <f>Contributions!D144+Contributions!D161</f>
        <v>-19339</v>
      </c>
      <c r="G80" s="21">
        <f>G79+F80</f>
        <v>75046</v>
      </c>
      <c r="H80" s="21">
        <f>Contributions!E144+Contributions!E161</f>
        <v>130</v>
      </c>
      <c r="I80" s="21">
        <f>I79+H80</f>
        <v>18725</v>
      </c>
      <c r="J80" s="21">
        <f>Contributions!F144+Contributions!F161</f>
        <v>0</v>
      </c>
      <c r="K80" s="21">
        <f>K79+J80</f>
        <v>0</v>
      </c>
      <c r="L80" s="21">
        <f>Contributions!G144+Contributions!G161</f>
        <v>0</v>
      </c>
      <c r="M80" s="21">
        <f>M79+L80</f>
        <v>0</v>
      </c>
      <c r="N80" s="21">
        <f>Contributions!H144+Contributions!H161</f>
        <v>8135</v>
      </c>
      <c r="O80" s="21">
        <f>O79+N80</f>
        <v>1170145</v>
      </c>
      <c r="P80" s="21">
        <f>Contributions!I144+Contributions!I161</f>
        <v>0</v>
      </c>
      <c r="Q80" s="21">
        <f>Q79+P80</f>
        <v>0</v>
      </c>
      <c r="R80" s="21">
        <f>C80+E80+G80+I80+K80+M80+Q80</f>
        <v>170551</v>
      </c>
      <c r="S80" s="17">
        <f>C80+E80+G80+I80+K80+M80+O80+Q80</f>
        <v>1340696</v>
      </c>
    </row>
    <row r="81">
      <c r="A81" t="inlineStr">
        <is>
          <t>FY2030</t>
        </is>
      </c>
      <c r="B81" s="21">
        <f>Contributions!B145+Contributions!B162</f>
        <v>362</v>
      </c>
      <c r="C81" s="21">
        <f>C80+B81</f>
        <v>52066</v>
      </c>
      <c r="D81" s="21">
        <f>Contributions!C145+Contributions!C162</f>
        <v>175</v>
      </c>
      <c r="E81" s="21">
        <f>E80+D81</f>
        <v>25251</v>
      </c>
      <c r="F81" s="21">
        <f>Contributions!D145+Contributions!D162</f>
        <v>-24475</v>
      </c>
      <c r="G81" s="21">
        <f>G80+F81</f>
        <v>50571</v>
      </c>
      <c r="H81" s="21">
        <f>Contributions!E145+Contributions!E162</f>
        <v>132</v>
      </c>
      <c r="I81" s="21">
        <f>I80+H81</f>
        <v>18857</v>
      </c>
      <c r="J81" s="21">
        <f>Contributions!F145+Contributions!F162</f>
        <v>0</v>
      </c>
      <c r="K81" s="21">
        <f>K80+J81</f>
        <v>0</v>
      </c>
      <c r="L81" s="21">
        <f>Contributions!G145+Contributions!G162</f>
        <v>0</v>
      </c>
      <c r="M81" s="21">
        <f>M80+L81</f>
        <v>0</v>
      </c>
      <c r="N81" s="21">
        <f>Contributions!H145+Contributions!H162</f>
        <v>-794700</v>
      </c>
      <c r="O81" s="21">
        <f>O80+N81</f>
        <v>375445</v>
      </c>
      <c r="P81" s="21">
        <f>Contributions!I145+Contributions!I162</f>
        <v>0</v>
      </c>
      <c r="Q81" s="21">
        <f>Q80+P81</f>
        <v>0</v>
      </c>
      <c r="R81" s="21">
        <f>C81+E81+G81+I81+K81+M81+Q81</f>
        <v>146745</v>
      </c>
      <c r="S81" s="17">
        <f>C81+E81+G81+I81+K81+M81+O81+Q81</f>
        <v>522190</v>
      </c>
    </row>
    <row r="82">
      <c r="A82" t="inlineStr">
        <is>
          <t>FY2031</t>
        </is>
      </c>
      <c r="B82" s="21">
        <f>Contributions!B146+Contributions!B163</f>
        <v>365</v>
      </c>
      <c r="C82" s="21">
        <f>C81+B82</f>
        <v>52431</v>
      </c>
      <c r="D82" s="21">
        <f>Contributions!C146+Contributions!C163</f>
        <v>177</v>
      </c>
      <c r="E82" s="21">
        <f>E81+D82</f>
        <v>25428</v>
      </c>
      <c r="F82" s="21">
        <f>Contributions!D146+Contributions!D163</f>
        <v>-19646</v>
      </c>
      <c r="G82" s="21">
        <f>G81+F82</f>
        <v>30925</v>
      </c>
      <c r="H82" s="21">
        <f>Contributions!E146+Contributions!E163</f>
        <v>132</v>
      </c>
      <c r="I82" s="21">
        <f>I81+H82</f>
        <v>18989</v>
      </c>
      <c r="J82" s="21">
        <f>Contributions!F146+Contributions!F163</f>
        <v>0</v>
      </c>
      <c r="K82" s="21">
        <f>K81+J82</f>
        <v>0</v>
      </c>
      <c r="L82" s="21">
        <f>Contributions!G146+Contributions!G163</f>
        <v>0</v>
      </c>
      <c r="M82" s="21">
        <f>M81+L82</f>
        <v>0</v>
      </c>
      <c r="N82" s="21">
        <f>Contributions!H146+Contributions!H163</f>
        <v>-356492</v>
      </c>
      <c r="O82" s="21">
        <f>O81+N82</f>
        <v>18953</v>
      </c>
      <c r="P82" s="21">
        <f>Contributions!I146+Contributions!I163</f>
        <v>0</v>
      </c>
      <c r="Q82" s="21">
        <f>Q81+P82</f>
        <v>0</v>
      </c>
      <c r="R82" s="21">
        <f>C82+E82+G82+I82+K82+M82+Q82</f>
        <v>127773</v>
      </c>
      <c r="S82" s="17">
        <f>C82+E82+G82+I82+K82+M82+O82+Q82</f>
        <v>146726</v>
      </c>
    </row>
    <row r="83">
      <c r="A83" t="inlineStr">
        <is>
          <t>FY2032</t>
        </is>
      </c>
      <c r="B83" s="21">
        <f>Contributions!B147+Contributions!B164</f>
        <v>367</v>
      </c>
      <c r="C83" s="21">
        <f>C82+B83</f>
        <v>52798</v>
      </c>
      <c r="D83" s="21">
        <f>Contributions!C147+Contributions!C164</f>
        <v>178</v>
      </c>
      <c r="E83" s="21">
        <f>E82+D83</f>
        <v>25606</v>
      </c>
      <c r="F83" s="21">
        <f>Contributions!D147+Contributions!D164</f>
        <v>-28783</v>
      </c>
      <c r="G83" s="21">
        <f>G82+F83</f>
        <v>2142</v>
      </c>
      <c r="H83" s="21">
        <f>Contributions!E147+Contributions!E164</f>
        <v>132</v>
      </c>
      <c r="I83" s="21">
        <f>I82+H83</f>
        <v>19121</v>
      </c>
      <c r="J83" s="21">
        <f>Contributions!F147+Contributions!F164</f>
        <v>72013</v>
      </c>
      <c r="K83" s="21">
        <f>K82+J83</f>
        <v>72013</v>
      </c>
      <c r="L83" s="21">
        <f>Contributions!G147+Contributions!G164</f>
        <v>0</v>
      </c>
      <c r="M83" s="21">
        <f>M82+L83</f>
        <v>0</v>
      </c>
      <c r="N83" s="21">
        <f>Contributions!H147+Contributions!H164</f>
        <v>132</v>
      </c>
      <c r="O83" s="21">
        <f>O82+N83</f>
        <v>19085</v>
      </c>
      <c r="P83" s="21">
        <f>Contributions!I147+Contributions!I164</f>
        <v>0</v>
      </c>
      <c r="Q83" s="21">
        <f>Q82+P83</f>
        <v>0</v>
      </c>
      <c r="R83" s="21">
        <f>C83+E83+G83+I83+K83+M83+Q83</f>
        <v>171680</v>
      </c>
      <c r="S83" s="17">
        <f>C83+E83+G83+I83+K83+M83+O83+Q83</f>
        <v>190765</v>
      </c>
    </row>
    <row r="84">
      <c r="A84" t="inlineStr">
        <is>
          <t>FY2033</t>
        </is>
      </c>
      <c r="B84" s="21">
        <f>Contributions!B148+Contributions!B165</f>
        <v>369</v>
      </c>
      <c r="C84" s="21">
        <f>C83+B84</f>
        <v>53167</v>
      </c>
      <c r="D84" s="21">
        <f>Contributions!C148+Contributions!C165</f>
        <v>-8321</v>
      </c>
      <c r="E84" s="21">
        <f>E83+D84</f>
        <v>17285</v>
      </c>
      <c r="F84" s="21">
        <f>Contributions!D148+Contributions!D165</f>
        <v>7473</v>
      </c>
      <c r="G84" s="21">
        <f>G83+F84</f>
        <v>9615</v>
      </c>
      <c r="H84" s="21">
        <f>Contributions!E148+Contributions!E165</f>
        <v>134</v>
      </c>
      <c r="I84" s="21">
        <f>I83+H84</f>
        <v>19255</v>
      </c>
      <c r="J84" s="21">
        <f>Contributions!F148+Contributions!F165</f>
        <v>66646</v>
      </c>
      <c r="K84" s="21">
        <f>K83+J84</f>
        <v>138659</v>
      </c>
      <c r="L84" s="21">
        <f>Contributions!G148+Contributions!G165</f>
        <v>0</v>
      </c>
      <c r="M84" s="21">
        <f>M83+L84</f>
        <v>0</v>
      </c>
      <c r="N84" s="21">
        <f>Contributions!H148+Contributions!H165</f>
        <v>134</v>
      </c>
      <c r="O84" s="21">
        <f>O83+N84</f>
        <v>19219</v>
      </c>
      <c r="P84" s="21">
        <f>Contributions!I148+Contributions!I165</f>
        <v>0</v>
      </c>
      <c r="Q84" s="21">
        <f>Q83+P84</f>
        <v>0</v>
      </c>
      <c r="R84" s="21">
        <f>C84+E84+G84+I84+K84+M84+Q84</f>
        <v>237981</v>
      </c>
      <c r="S84" s="17">
        <f>C84+E84+G84+I84+K84+M84+O84+Q84</f>
        <v>257200</v>
      </c>
    </row>
    <row r="85">
      <c r="A85" t="inlineStr">
        <is>
          <t>FY2034</t>
        </is>
      </c>
      <c r="B85" s="21">
        <f>Contributions!B149+Contributions!B166</f>
        <v>372</v>
      </c>
      <c r="C85" s="21">
        <f>C84+B85</f>
        <v>53539</v>
      </c>
      <c r="D85" s="21">
        <f>Contributions!C149+Contributions!C166</f>
        <v>121</v>
      </c>
      <c r="E85" s="21">
        <f>E84+D85</f>
        <v>17406</v>
      </c>
      <c r="F85" s="21">
        <f>Contributions!D149+Contributions!D166</f>
        <v>4017</v>
      </c>
      <c r="G85" s="21">
        <f>G84+F85</f>
        <v>13632</v>
      </c>
      <c r="H85" s="21">
        <f>Contributions!E149+Contributions!E166</f>
        <v>135</v>
      </c>
      <c r="I85" s="21">
        <f>I84+H85</f>
        <v>19390</v>
      </c>
      <c r="J85" s="21">
        <f>Contributions!F149+Contributions!F166</f>
        <v>116557</v>
      </c>
      <c r="K85" s="21">
        <f>K84+J85</f>
        <v>255216</v>
      </c>
      <c r="L85" s="21">
        <f>Contributions!G149+Contributions!G166</f>
        <v>0</v>
      </c>
      <c r="M85" s="21">
        <f>M84+L85</f>
        <v>0</v>
      </c>
      <c r="N85" s="21">
        <f>Contributions!H149+Contributions!H166</f>
        <v>135</v>
      </c>
      <c r="O85" s="21">
        <f>O84+N85</f>
        <v>19354</v>
      </c>
      <c r="P85" s="21">
        <f>Contributions!I149+Contributions!I166</f>
        <v>0</v>
      </c>
      <c r="Q85" s="21">
        <f>Q84+P85</f>
        <v>0</v>
      </c>
      <c r="R85" s="21">
        <f>C85+E85+G85+I85+K85+M85+Q85</f>
        <v>359183</v>
      </c>
      <c r="S85" s="17">
        <f>C85+E85+G85+I85+K85+M85+O85+Q85</f>
        <v>378537</v>
      </c>
    </row>
    <row r="86">
      <c r="A86" t="inlineStr">
        <is>
          <t>FY2035</t>
        </is>
      </c>
      <c r="B86" s="21">
        <f>Contributions!B150+Contributions!B167</f>
        <v>375</v>
      </c>
      <c r="C86" s="21">
        <f>C85+B86</f>
        <v>53914</v>
      </c>
      <c r="D86" s="21">
        <f>Contributions!C150+Contributions!C167</f>
        <v>122</v>
      </c>
      <c r="E86" s="21">
        <f>E85+D86</f>
        <v>17528</v>
      </c>
      <c r="F86" s="21">
        <f>Contributions!D150+Contributions!D167</f>
        <v>-17272</v>
      </c>
      <c r="G86" s="21">
        <f>G85+F86</f>
        <v>-3640</v>
      </c>
      <c r="H86" s="21">
        <f>Contributions!E150+Contributions!E167</f>
        <v>136</v>
      </c>
      <c r="I86" s="21">
        <f>I85+H86</f>
        <v>19526</v>
      </c>
      <c r="J86" s="21">
        <f>Contributions!F150+Contributions!F167</f>
        <v>-255216</v>
      </c>
      <c r="K86" s="21">
        <f>K85+J86</f>
        <v>0</v>
      </c>
      <c r="L86" s="21">
        <f>Contributions!G150+Contributions!G167</f>
        <v>0</v>
      </c>
      <c r="M86" s="21">
        <f>M85+L86</f>
        <v>0</v>
      </c>
      <c r="N86" s="21">
        <f>Contributions!H150+Contributions!H167</f>
        <v>134</v>
      </c>
      <c r="O86" s="21">
        <f>O85+N86</f>
        <v>19488</v>
      </c>
      <c r="P86" s="21">
        <f>Contributions!I150+Contributions!I167</f>
        <v>0</v>
      </c>
      <c r="Q86" s="21">
        <f>Q85+P86</f>
        <v>0</v>
      </c>
      <c r="R86" s="21">
        <f>C86+E86+G86+I86+K86+M86+Q86</f>
        <v>87328</v>
      </c>
      <c r="S86" s="17">
        <f>C86+E86+G86+I86+K86+M86+O86+Q86</f>
        <v>106816</v>
      </c>
    </row>
    <row r="87">
      <c r="A87" t="inlineStr">
        <is>
          <t>FY2036</t>
        </is>
      </c>
      <c r="B87" s="21">
        <f>Contributions!B151+Contributions!B168</f>
        <v>378</v>
      </c>
      <c r="C87" s="21">
        <f>C86+B87</f>
        <v>54292</v>
      </c>
      <c r="D87" s="21">
        <f>Contributions!C151+Contributions!C168</f>
        <v>123</v>
      </c>
      <c r="E87" s="21">
        <f>E86+D87</f>
        <v>17651</v>
      </c>
      <c r="F87" s="21">
        <f>Contributions!D151+Contributions!D168</f>
        <v>3640</v>
      </c>
      <c r="G87" s="21">
        <f>G86+F87</f>
        <v>0</v>
      </c>
      <c r="H87" s="21">
        <f>Contributions!E151+Contributions!E168</f>
        <v>136</v>
      </c>
      <c r="I87" s="21">
        <f>I86+H87</f>
        <v>19662</v>
      </c>
      <c r="J87" s="21">
        <f>Contributions!F151+Contributions!F168</f>
        <v>0</v>
      </c>
      <c r="K87" s="21">
        <f>K86+J87</f>
        <v>0</v>
      </c>
      <c r="L87" s="21">
        <f>Contributions!G151+Contributions!G168</f>
        <v>0</v>
      </c>
      <c r="M87" s="21">
        <f>M86+L87</f>
        <v>0</v>
      </c>
      <c r="N87" s="21">
        <f>Contributions!H151+Contributions!H168</f>
        <v>136</v>
      </c>
      <c r="O87" s="21">
        <f>O86+N87</f>
        <v>19624</v>
      </c>
      <c r="P87" s="21">
        <f>Contributions!I151+Contributions!I168</f>
        <v>0</v>
      </c>
      <c r="Q87" s="21">
        <f>Q86+P87</f>
        <v>0</v>
      </c>
      <c r="R87" s="21">
        <f>C87+E87+G87+I87+K87+M87+Q87</f>
        <v>91605</v>
      </c>
      <c r="S87" s="17">
        <f>C87+E87+G87+I87+K87+M87+O87+Q87</f>
        <v>111229</v>
      </c>
    </row>
    <row r="88">
      <c r="A88" t="inlineStr">
        <is>
          <t>FY2037</t>
        </is>
      </c>
      <c r="B88" s="21">
        <f>Contributions!B152+Contributions!B169</f>
        <v>380</v>
      </c>
      <c r="C88" s="21">
        <f>C87+B88</f>
        <v>54672</v>
      </c>
      <c r="D88" s="21">
        <f>Contributions!C152+Contributions!C169</f>
        <v>124</v>
      </c>
      <c r="E88" s="21">
        <f>E87+D88</f>
        <v>17775</v>
      </c>
      <c r="F88" s="21">
        <f>Contributions!D152+Contributions!D169</f>
        <v>0</v>
      </c>
      <c r="G88" s="21">
        <f>G87+F88</f>
        <v>0</v>
      </c>
      <c r="H88" s="21">
        <f>Contributions!E152+Contributions!E169</f>
        <v>138</v>
      </c>
      <c r="I88" s="21">
        <f>I87+H88</f>
        <v>19800</v>
      </c>
      <c r="J88" s="21">
        <f>Contributions!F152+Contributions!F169</f>
        <v>0</v>
      </c>
      <c r="K88" s="21">
        <f>K87+J88</f>
        <v>0</v>
      </c>
      <c r="L88" s="21">
        <f>Contributions!G152+Contributions!G169</f>
        <v>88417</v>
      </c>
      <c r="M88" s="21">
        <f>M87+L88</f>
        <v>88417</v>
      </c>
      <c r="N88" s="21">
        <f>Contributions!H152+Contributions!H169</f>
        <v>138</v>
      </c>
      <c r="O88" s="21">
        <f>O87+N88</f>
        <v>19762</v>
      </c>
      <c r="P88" s="21">
        <f>Contributions!I152+Contributions!I169</f>
        <v>0</v>
      </c>
      <c r="Q88" s="21">
        <f>Q87+P88</f>
        <v>0</v>
      </c>
      <c r="R88" s="21">
        <f>C88+E88+G88+I88+K88+M88+Q88</f>
        <v>180664</v>
      </c>
      <c r="S88" s="17">
        <f>C88+E88+G88+I88+K88+M88+O88+Q88</f>
        <v>200426</v>
      </c>
    </row>
    <row r="89">
      <c r="A89" t="inlineStr">
        <is>
          <t>FY2038</t>
        </is>
      </c>
      <c r="B89" s="21">
        <f>Contributions!B153+Contributions!B170</f>
        <v>382</v>
      </c>
      <c r="C89" s="21">
        <f>C88+B89</f>
        <v>55054</v>
      </c>
      <c r="D89" s="21">
        <f>Contributions!C153+Contributions!C170</f>
        <v>124</v>
      </c>
      <c r="E89" s="21">
        <f>E88+D89</f>
        <v>17899</v>
      </c>
      <c r="F89" s="21">
        <f>Contributions!D153+Contributions!D170</f>
        <v>0</v>
      </c>
      <c r="G89" s="21">
        <f>G88+F89</f>
        <v>0</v>
      </c>
      <c r="H89" s="21">
        <f>Contributions!E153+Contributions!E170</f>
        <v>139</v>
      </c>
      <c r="I89" s="21">
        <f>I88+H89</f>
        <v>19939</v>
      </c>
      <c r="J89" s="21">
        <f>Contributions!F153+Contributions!F170</f>
        <v>0</v>
      </c>
      <c r="K89" s="21">
        <f>K88+J89</f>
        <v>0</v>
      </c>
      <c r="L89" s="21">
        <f>Contributions!G153+Contributions!G170</f>
        <v>38805</v>
      </c>
      <c r="M89" s="21">
        <f>M88+L89</f>
        <v>127222</v>
      </c>
      <c r="N89" s="21">
        <f>Contributions!H153+Contributions!H170</f>
        <v>138</v>
      </c>
      <c r="O89" s="21">
        <f>O88+N89</f>
        <v>19900</v>
      </c>
      <c r="P89" s="21">
        <f>Contributions!I153+Contributions!I170</f>
        <v>0</v>
      </c>
      <c r="Q89" s="21">
        <f>Q88+P89</f>
        <v>0</v>
      </c>
      <c r="R89" s="21">
        <f>C89+E89+G89+I89+K89+M89+Q89</f>
        <v>220114</v>
      </c>
      <c r="S89" s="17">
        <f>C89+E89+G89+I89+K89+M89+O89+Q89</f>
        <v>240014</v>
      </c>
    </row>
    <row r="90">
      <c r="A90" t="inlineStr">
        <is>
          <t>FY2039</t>
        </is>
      </c>
      <c r="B90" s="21">
        <f>Contributions!B154+Contributions!B171</f>
        <v>386</v>
      </c>
      <c r="C90" s="21">
        <f>C89+B90</f>
        <v>55440</v>
      </c>
      <c r="D90" s="21">
        <f>Contributions!C154+Contributions!C171</f>
        <v>125</v>
      </c>
      <c r="E90" s="21">
        <f>E89+D90</f>
        <v>18024</v>
      </c>
      <c r="F90" s="21">
        <f>Contributions!D154+Contributions!D171</f>
        <v>0</v>
      </c>
      <c r="G90" s="21">
        <f>G89+F90</f>
        <v>0</v>
      </c>
      <c r="H90" s="21">
        <f>Contributions!E154+Contributions!E171</f>
        <v>139</v>
      </c>
      <c r="I90" s="21">
        <f>I89+H90</f>
        <v>20078</v>
      </c>
      <c r="J90" s="21">
        <f>Contributions!F154+Contributions!F171</f>
        <v>10645</v>
      </c>
      <c r="K90" s="21">
        <f>K89+J90</f>
        <v>10645</v>
      </c>
      <c r="L90" s="21">
        <f>Contributions!G154+Contributions!G171</f>
        <v>-1762</v>
      </c>
      <c r="M90" s="21">
        <f>M89+L90</f>
        <v>125460</v>
      </c>
      <c r="N90" s="21">
        <f>Contributions!H154+Contributions!H171</f>
        <v>139</v>
      </c>
      <c r="O90" s="21">
        <f>O89+N90</f>
        <v>20039</v>
      </c>
      <c r="P90" s="21">
        <f>Contributions!I154+Contributions!I171</f>
        <v>0</v>
      </c>
      <c r="Q90" s="21">
        <f>Q89+P90</f>
        <v>0</v>
      </c>
      <c r="R90" s="21">
        <f>C90+E90+G90+I90+K90+M90+Q90</f>
        <v>229647</v>
      </c>
      <c r="S90" s="17">
        <f>C90+E90+G90+I90+K90+M90+O90+Q90</f>
        <v>249686</v>
      </c>
    </row>
    <row r="91">
      <c r="A91" t="inlineStr">
        <is>
          <t>FY2040</t>
        </is>
      </c>
      <c r="B91" s="21">
        <f>Contributions!B155+Contributions!B172</f>
        <v>388</v>
      </c>
      <c r="C91" s="21">
        <f>C90+B91</f>
        <v>55828</v>
      </c>
      <c r="D91" s="21">
        <f>Contributions!C155+Contributions!C172</f>
        <v>126</v>
      </c>
      <c r="E91" s="21">
        <f>E90+D91</f>
        <v>18150</v>
      </c>
      <c r="F91" s="21">
        <f>Contributions!D155+Contributions!D172</f>
        <v>18813</v>
      </c>
      <c r="G91" s="21">
        <f>G90+F91</f>
        <v>18813</v>
      </c>
      <c r="H91" s="21">
        <f>Contributions!E155+Contributions!E172</f>
        <v>141</v>
      </c>
      <c r="I91" s="21">
        <f>I90+H91</f>
        <v>20219</v>
      </c>
      <c r="J91" s="21">
        <f>Contributions!F155+Contributions!F172</f>
        <v>-10645</v>
      </c>
      <c r="K91" s="21">
        <f>K90+J91</f>
        <v>0</v>
      </c>
      <c r="L91" s="21">
        <f>Contributions!G155+Contributions!G172</f>
        <v>-70296</v>
      </c>
      <c r="M91" s="21">
        <f>M90+L91</f>
        <v>55164</v>
      </c>
      <c r="N91" s="21">
        <f>Contributions!H155+Contributions!H172</f>
        <v>141</v>
      </c>
      <c r="O91" s="21">
        <f>O90+N91</f>
        <v>20180</v>
      </c>
      <c r="P91" s="21">
        <f>Contributions!I155+Contributions!I172</f>
        <v>0</v>
      </c>
      <c r="Q91" s="21">
        <f>Q90+P91</f>
        <v>0</v>
      </c>
      <c r="R91" s="21">
        <f>C91+E91+G91+I91+K91+M91+Q91</f>
        <v>168174</v>
      </c>
      <c r="S91" s="17">
        <f>C91+E91+G91+I91+K91+M91+O91+Q91</f>
        <v>188354</v>
      </c>
    </row>
    <row r="92">
      <c r="A92" t="inlineStr">
        <is>
          <t>FY2041</t>
        </is>
      </c>
      <c r="B92" s="21">
        <f>Contributions!B156+Contributions!B173</f>
        <v>391</v>
      </c>
      <c r="C92" s="21">
        <f>C91+B92</f>
        <v>56219</v>
      </c>
      <c r="D92" s="21">
        <f>Contributions!C156+Contributions!C173</f>
        <v>127</v>
      </c>
      <c r="E92" s="21">
        <f>E91+D92</f>
        <v>18277</v>
      </c>
      <c r="F92" s="21">
        <f>Contributions!D156+Contributions!D173</f>
        <v>20656</v>
      </c>
      <c r="G92" s="21">
        <f>G91+F92</f>
        <v>39469</v>
      </c>
      <c r="H92" s="21">
        <f>Contributions!E156+Contributions!E173</f>
        <v>141</v>
      </c>
      <c r="I92" s="21">
        <f>I91+H92</f>
        <v>20360</v>
      </c>
      <c r="J92" s="21">
        <f>Contributions!F156+Contributions!F173</f>
        <v>344667</v>
      </c>
      <c r="K92" s="21">
        <f>K91+J92</f>
        <v>344667</v>
      </c>
      <c r="L92" s="21">
        <f>Contributions!G156+Contributions!G173</f>
        <v>-29614</v>
      </c>
      <c r="M92" s="21">
        <f>M91+L92</f>
        <v>25550</v>
      </c>
      <c r="N92" s="21">
        <f>Contributions!H156+Contributions!H173</f>
        <v>141</v>
      </c>
      <c r="O92" s="21">
        <f>O91+N92</f>
        <v>20321</v>
      </c>
      <c r="P92" s="21">
        <f>Contributions!I156+Contributions!I173</f>
        <v>0</v>
      </c>
      <c r="Q92" s="21">
        <f>Q91+P92</f>
        <v>0</v>
      </c>
      <c r="R92" s="21">
        <f>C92+E92+G92+I92+K92+M92+Q92</f>
        <v>504542</v>
      </c>
      <c r="S92" s="17">
        <f>C92+E92+G92+I92+K92+M92+O92+Q92</f>
        <v>524863</v>
      </c>
    </row>
    <row r="93">
      <c r="A93" t="inlineStr">
        <is>
          <t>FY2042</t>
        </is>
      </c>
      <c r="B93" s="21">
        <f>Contributions!B157+Contributions!B174</f>
        <v>393</v>
      </c>
      <c r="C93" s="21">
        <f>C92+B93</f>
        <v>56612</v>
      </c>
      <c r="D93" s="21">
        <f>Contributions!C157+Contributions!C174</f>
        <v>128</v>
      </c>
      <c r="E93" s="21">
        <f>E92+D93</f>
        <v>18405</v>
      </c>
      <c r="F93" s="21">
        <f>Contributions!D157+Contributions!D174</f>
        <v>-24723</v>
      </c>
      <c r="G93" s="21">
        <f>G92+F93</f>
        <v>14746</v>
      </c>
      <c r="H93" s="21">
        <f>Contributions!E157+Contributions!E174</f>
        <v>143</v>
      </c>
      <c r="I93" s="21">
        <f>I92+H93</f>
        <v>20503</v>
      </c>
      <c r="J93" s="21">
        <f>Contributions!F157+Contributions!F174</f>
        <v>139121</v>
      </c>
      <c r="K93" s="21">
        <f>K92+J93</f>
        <v>483788</v>
      </c>
      <c r="L93" s="21">
        <f>Contributions!G157+Contributions!G174</f>
        <v>-25550</v>
      </c>
      <c r="M93" s="21">
        <f>M92+L93</f>
        <v>0</v>
      </c>
      <c r="N93" s="21">
        <f>Contributions!H157+Contributions!H174</f>
        <v>142</v>
      </c>
      <c r="O93" s="21">
        <f>O92+N93</f>
        <v>20463</v>
      </c>
      <c r="P93" s="21">
        <f>Contributions!I157+Contributions!I174</f>
        <v>0</v>
      </c>
      <c r="Q93" s="21">
        <f>Q92+P93</f>
        <v>0</v>
      </c>
      <c r="R93" s="21">
        <f>C93+E93+G93+I93+K93+M93+Q93</f>
        <v>594054</v>
      </c>
      <c r="S93" s="17">
        <f>C93+E93+G93+I93+K93+M93+O93+Q93</f>
        <v>614517</v>
      </c>
    </row>
    <row r="94">
      <c r="A94" s="16" t="inlineStr">
        <is>
          <t>Min balance</t>
        </is>
      </c>
      <c r="C94" s="21">
        <f>MIN(C79:C93)</f>
        <v>51345</v>
      </c>
      <c r="E94" s="21">
        <f>MIN(E79:E93)</f>
        <v>17285</v>
      </c>
      <c r="G94" s="21">
        <f>MIN(G79:G93)</f>
        <v>-3640</v>
      </c>
      <c r="I94" s="21">
        <f>MIN(I79:I93)</f>
        <v>18595</v>
      </c>
      <c r="K94" s="21">
        <f>MIN(K79:K93)</f>
        <v>0</v>
      </c>
      <c r="M94" s="21">
        <f>MIN(M79:M93)</f>
        <v>0</v>
      </c>
      <c r="O94" s="21">
        <f>MIN(O79:O93)</f>
        <v>18953</v>
      </c>
      <c r="Q94" s="21">
        <f>MIN(Q79:Q93)</f>
        <v>0</v>
      </c>
      <c r="S94" s="17">
        <f>MIN(C94,E94,G94,I94,K94,M94,O94,Q94)</f>
        <v>-3640</v>
      </c>
    </row>
    <row r="95">
      <c r="B95" s="6" t="inlineStr">
        <is>
          <t>small purchases (≤$15,000) are cash-flowed in-fund; a dip is a payable within a −$15,000 tolerance, never new borrowing — the Summary check row flags anything beyond it</t>
        </is>
      </c>
    </row>
    <row r="96">
      <c r="A96" s="4" t="inlineStr">
        <is>
          <t>Full pre-funding ($565k/yr)</t>
        </is>
      </c>
    </row>
    <row r="97">
      <c r="A97" s="14" t="inlineStr">
        <is>
          <t>Fiscal year</t>
        </is>
      </c>
      <c r="B97" s="14" t="inlineStr">
        <is>
          <t>Bridge net</t>
        </is>
      </c>
      <c r="C97" s="14" t="inlineStr">
        <is>
          <t>Bridge bal</t>
        </is>
      </c>
      <c r="D97" s="14" t="inlineStr">
        <is>
          <t>Garage net</t>
        </is>
      </c>
      <c r="E97" s="14" t="inlineStr">
        <is>
          <t>Garage bal</t>
        </is>
      </c>
      <c r="F97" s="14" t="inlineStr">
        <is>
          <t>Town Hall net</t>
        </is>
      </c>
      <c r="G97" s="14" t="inlineStr">
        <is>
          <t>Town Hall bal</t>
        </is>
      </c>
      <c r="H97" s="14" t="inlineStr">
        <is>
          <t>Courts net</t>
        </is>
      </c>
      <c r="I97" s="14" t="inlineStr">
        <is>
          <t>Courts bal</t>
        </is>
      </c>
      <c r="J97" s="14" t="inlineStr">
        <is>
          <t>A&amp;E net</t>
        </is>
      </c>
      <c r="K97" s="14" t="inlineStr">
        <is>
          <t>A&amp;E bal</t>
        </is>
      </c>
      <c r="L97" s="14" t="inlineStr">
        <is>
          <t>Paving net</t>
        </is>
      </c>
      <c r="M97" s="14" t="inlineStr">
        <is>
          <t>Paving bal</t>
        </is>
      </c>
      <c r="N97" s="14" t="inlineStr">
        <is>
          <t>Proceeds net</t>
        </is>
      </c>
      <c r="O97" s="14" t="inlineStr">
        <is>
          <t>Proceeds bal</t>
        </is>
      </c>
      <c r="P97" s="14" t="inlineStr">
        <is>
          <t>Cap Reserve net</t>
        </is>
      </c>
      <c r="Q97" s="14" t="inlineStr">
        <is>
          <t>Cap Reserve bal</t>
        </is>
      </c>
      <c r="R97" s="14" t="inlineStr">
        <is>
          <t>Reserve funds</t>
        </is>
      </c>
      <c r="S97" s="14" t="inlineStr">
        <is>
          <t>Reserve funds + bond proceeds</t>
        </is>
      </c>
    </row>
    <row r="98">
      <c r="A98" t="inlineStr">
        <is>
          <t>FY2028</t>
        </is>
      </c>
      <c r="B98" s="21">
        <f>Contributions!B178+Contributions!B195</f>
        <v>357</v>
      </c>
      <c r="C98" s="21">
        <f>Inputs!$B$28+B98</f>
        <v>51345</v>
      </c>
      <c r="D98" s="21">
        <f>Contributions!C178+Contributions!C195</f>
        <v>-10750</v>
      </c>
      <c r="E98" s="21">
        <f>Inputs!$B$29+D98</f>
        <v>24902</v>
      </c>
      <c r="F98" s="21">
        <f>Contributions!D178+Contributions!D195</f>
        <v>656</v>
      </c>
      <c r="G98" s="21">
        <f>Inputs!$B$30+F98</f>
        <v>94385</v>
      </c>
      <c r="H98" s="21">
        <f>Contributions!E178+Contributions!E195</f>
        <v>129</v>
      </c>
      <c r="I98" s="21">
        <f>Inputs!$B$31+H98</f>
        <v>18595</v>
      </c>
      <c r="J98" s="21">
        <f>Contributions!F178+Contributions!F195</f>
        <v>-100463</v>
      </c>
      <c r="K98" s="21">
        <f>Inputs!$B$32+J98</f>
        <v>0</v>
      </c>
      <c r="L98" s="21">
        <f>Contributions!G178+Contributions!G195</f>
        <v>-42359</v>
      </c>
      <c r="M98" s="21">
        <f>Inputs!$B$33+L98</f>
        <v>0</v>
      </c>
      <c r="N98" s="21">
        <f>Contributions!H178+Contributions!H195</f>
        <v>1124086</v>
      </c>
      <c r="O98" s="21">
        <f>0+N98</f>
        <v>1124086</v>
      </c>
      <c r="P98" s="21">
        <f>Contributions!I178+Contributions!I195</f>
        <v>0</v>
      </c>
      <c r="Q98" s="21">
        <f>0+P98</f>
        <v>0</v>
      </c>
      <c r="R98" s="21">
        <f>C98+E98+G98+I98+K98+M98+Q98</f>
        <v>189227</v>
      </c>
      <c r="S98" s="17">
        <f>C98+E98+G98+I98+K98+M98+O98+Q98</f>
        <v>1313313</v>
      </c>
    </row>
    <row r="99">
      <c r="A99" t="inlineStr">
        <is>
          <t>FY2029</t>
        </is>
      </c>
      <c r="B99" s="21">
        <f>Contributions!B179+Contributions!B196</f>
        <v>359</v>
      </c>
      <c r="C99" s="21">
        <f>C98+B99</f>
        <v>51704</v>
      </c>
      <c r="D99" s="21">
        <f>Contributions!C179+Contributions!C196</f>
        <v>174</v>
      </c>
      <c r="E99" s="21">
        <f>E98+D99</f>
        <v>25076</v>
      </c>
      <c r="F99" s="21">
        <f>Contributions!D179+Contributions!D196</f>
        <v>-19339</v>
      </c>
      <c r="G99" s="21">
        <f>G98+F99</f>
        <v>75046</v>
      </c>
      <c r="H99" s="21">
        <f>Contributions!E179+Contributions!E196</f>
        <v>130</v>
      </c>
      <c r="I99" s="21">
        <f>I98+H99</f>
        <v>18725</v>
      </c>
      <c r="J99" s="21">
        <f>Contributions!F179+Contributions!F196</f>
        <v>0</v>
      </c>
      <c r="K99" s="21">
        <f>K98+J99</f>
        <v>0</v>
      </c>
      <c r="L99" s="21">
        <f>Contributions!G179+Contributions!G196</f>
        <v>0</v>
      </c>
      <c r="M99" s="21">
        <f>M98+L99</f>
        <v>0</v>
      </c>
      <c r="N99" s="21">
        <f>Contributions!H179+Contributions!H196</f>
        <v>7869</v>
      </c>
      <c r="O99" s="21">
        <f>O98+N99</f>
        <v>1131955</v>
      </c>
      <c r="P99" s="21">
        <f>Contributions!I179+Contributions!I196</f>
        <v>0</v>
      </c>
      <c r="Q99" s="21">
        <f>Q98+P99</f>
        <v>0</v>
      </c>
      <c r="R99" s="21">
        <f>C99+E99+G99+I99+K99+M99+Q99</f>
        <v>170551</v>
      </c>
      <c r="S99" s="17">
        <f>C99+E99+G99+I99+K99+M99+O99+Q99</f>
        <v>1302506</v>
      </c>
    </row>
    <row r="100">
      <c r="A100" t="inlineStr">
        <is>
          <t>FY2030</t>
        </is>
      </c>
      <c r="B100" s="21">
        <f>Contributions!B180+Contributions!B197</f>
        <v>362</v>
      </c>
      <c r="C100" s="21">
        <f>C99+B100</f>
        <v>52066</v>
      </c>
      <c r="D100" s="21">
        <f>Contributions!C180+Contributions!C197</f>
        <v>175</v>
      </c>
      <c r="E100" s="21">
        <f>E99+D100</f>
        <v>25251</v>
      </c>
      <c r="F100" s="21">
        <f>Contributions!D180+Contributions!D197</f>
        <v>-24475</v>
      </c>
      <c r="G100" s="21">
        <f>G99+F100</f>
        <v>50571</v>
      </c>
      <c r="H100" s="21">
        <f>Contributions!E180+Contributions!E197</f>
        <v>132</v>
      </c>
      <c r="I100" s="21">
        <f>I99+H100</f>
        <v>18857</v>
      </c>
      <c r="J100" s="21">
        <f>Contributions!F180+Contributions!F197</f>
        <v>0</v>
      </c>
      <c r="K100" s="21">
        <f>K99+J100</f>
        <v>0</v>
      </c>
      <c r="L100" s="21">
        <f>Contributions!G180+Contributions!G197</f>
        <v>0</v>
      </c>
      <c r="M100" s="21">
        <f>M99+L100</f>
        <v>0</v>
      </c>
      <c r="N100" s="21">
        <f>Contributions!H180+Contributions!H197</f>
        <v>-794968</v>
      </c>
      <c r="O100" s="21">
        <f>O99+N100</f>
        <v>336987</v>
      </c>
      <c r="P100" s="21">
        <f>Contributions!I180+Contributions!I197</f>
        <v>0</v>
      </c>
      <c r="Q100" s="21">
        <f>Q99+P100</f>
        <v>0</v>
      </c>
      <c r="R100" s="21">
        <f>C100+E100+G100+I100+K100+M100+Q100</f>
        <v>146745</v>
      </c>
      <c r="S100" s="17">
        <f>C100+E100+G100+I100+K100+M100+O100+Q100</f>
        <v>483732</v>
      </c>
    </row>
    <row r="101">
      <c r="A101" t="inlineStr">
        <is>
          <t>FY2031</t>
        </is>
      </c>
      <c r="B101" s="21">
        <f>Contributions!B181+Contributions!B198</f>
        <v>365</v>
      </c>
      <c r="C101" s="21">
        <f>C100+B101</f>
        <v>52431</v>
      </c>
      <c r="D101" s="21">
        <f>Contributions!C181+Contributions!C198</f>
        <v>177</v>
      </c>
      <c r="E101" s="21">
        <f>E100+D101</f>
        <v>25428</v>
      </c>
      <c r="F101" s="21">
        <f>Contributions!D181+Contributions!D198</f>
        <v>-19646</v>
      </c>
      <c r="G101" s="21">
        <f>G100+F101</f>
        <v>30925</v>
      </c>
      <c r="H101" s="21">
        <f>Contributions!E181+Contributions!E198</f>
        <v>132</v>
      </c>
      <c r="I101" s="21">
        <f>I100+H101</f>
        <v>18989</v>
      </c>
      <c r="J101" s="21">
        <f>Contributions!F181+Contributions!F198</f>
        <v>0</v>
      </c>
      <c r="K101" s="21">
        <f>K100+J101</f>
        <v>0</v>
      </c>
      <c r="L101" s="21">
        <f>Contributions!G181+Contributions!G198</f>
        <v>0</v>
      </c>
      <c r="M101" s="21">
        <f>M100+L101</f>
        <v>0</v>
      </c>
      <c r="N101" s="21">
        <f>Contributions!H181+Contributions!H198</f>
        <v>-318836</v>
      </c>
      <c r="O101" s="21">
        <f>O100+N101</f>
        <v>18151</v>
      </c>
      <c r="P101" s="21">
        <f>Contributions!I181+Contributions!I198</f>
        <v>0</v>
      </c>
      <c r="Q101" s="21">
        <f>Q100+P101</f>
        <v>0</v>
      </c>
      <c r="R101" s="21">
        <f>C101+E101+G101+I101+K101+M101+Q101</f>
        <v>127773</v>
      </c>
      <c r="S101" s="17">
        <f>C101+E101+G101+I101+K101+M101+O101+Q101</f>
        <v>145924</v>
      </c>
    </row>
    <row r="102">
      <c r="A102" t="inlineStr">
        <is>
          <t>FY2032</t>
        </is>
      </c>
      <c r="B102" s="21">
        <f>Contributions!B182+Contributions!B199</f>
        <v>367</v>
      </c>
      <c r="C102" s="21">
        <f>C101+B102</f>
        <v>52798</v>
      </c>
      <c r="D102" s="21">
        <f>Contributions!C182+Contributions!C199</f>
        <v>178</v>
      </c>
      <c r="E102" s="21">
        <f>E101+D102</f>
        <v>25606</v>
      </c>
      <c r="F102" s="21">
        <f>Contributions!D182+Contributions!D199</f>
        <v>-28783</v>
      </c>
      <c r="G102" s="21">
        <f>G101+F102</f>
        <v>2142</v>
      </c>
      <c r="H102" s="21">
        <f>Contributions!E182+Contributions!E199</f>
        <v>132</v>
      </c>
      <c r="I102" s="21">
        <f>I101+H102</f>
        <v>19121</v>
      </c>
      <c r="J102" s="21">
        <f>Contributions!F182+Contributions!F199</f>
        <v>0</v>
      </c>
      <c r="K102" s="21">
        <f>K101+J102</f>
        <v>0</v>
      </c>
      <c r="L102" s="21">
        <f>Contributions!G182+Contributions!G199</f>
        <v>0</v>
      </c>
      <c r="M102" s="21">
        <f>M101+L102</f>
        <v>0</v>
      </c>
      <c r="N102" s="21">
        <f>Contributions!H182+Contributions!H199</f>
        <v>127</v>
      </c>
      <c r="O102" s="21">
        <f>O101+N102</f>
        <v>18278</v>
      </c>
      <c r="P102" s="21">
        <f>Contributions!I182+Contributions!I199</f>
        <v>109938</v>
      </c>
      <c r="Q102" s="21">
        <f>Q101+P102</f>
        <v>109938</v>
      </c>
      <c r="R102" s="21">
        <f>C102+E102+G102+I102+K102+M102+Q102</f>
        <v>209605</v>
      </c>
      <c r="S102" s="17">
        <f>C102+E102+G102+I102+K102+M102+O102+Q102</f>
        <v>227883</v>
      </c>
    </row>
    <row r="103">
      <c r="A103" t="inlineStr">
        <is>
          <t>FY2033</t>
        </is>
      </c>
      <c r="B103" s="21">
        <f>Contributions!B183+Contributions!B200</f>
        <v>369</v>
      </c>
      <c r="C103" s="21">
        <f>C102+B103</f>
        <v>53167</v>
      </c>
      <c r="D103" s="21">
        <f>Contributions!C183+Contributions!C200</f>
        <v>-8321</v>
      </c>
      <c r="E103" s="21">
        <f>E102+D103</f>
        <v>17285</v>
      </c>
      <c r="F103" s="21">
        <f>Contributions!D183+Contributions!D200</f>
        <v>15</v>
      </c>
      <c r="G103" s="21">
        <f>G102+F103</f>
        <v>2157</v>
      </c>
      <c r="H103" s="21">
        <f>Contributions!E183+Contributions!E200</f>
        <v>134</v>
      </c>
      <c r="I103" s="21">
        <f>I102+H103</f>
        <v>19255</v>
      </c>
      <c r="J103" s="21">
        <f>Contributions!F183+Contributions!F200</f>
        <v>0</v>
      </c>
      <c r="K103" s="21">
        <f>K102+J103</f>
        <v>0</v>
      </c>
      <c r="L103" s="21">
        <f>Contributions!G183+Contributions!G200</f>
        <v>0</v>
      </c>
      <c r="M103" s="21">
        <f>M102+L103</f>
        <v>0</v>
      </c>
      <c r="N103" s="21">
        <f>Contributions!H183+Contributions!H200</f>
        <v>128</v>
      </c>
      <c r="O103" s="21">
        <f>O102+N103</f>
        <v>18406</v>
      </c>
      <c r="P103" s="21">
        <f>Contributions!I183+Contributions!I200</f>
        <v>112294</v>
      </c>
      <c r="Q103" s="21">
        <f>Q102+P103</f>
        <v>222232</v>
      </c>
      <c r="R103" s="21">
        <f>C103+E103+G103+I103+K103+M103+Q103</f>
        <v>314096</v>
      </c>
      <c r="S103" s="17">
        <f>C103+E103+G103+I103+K103+M103+O103+Q103</f>
        <v>332502</v>
      </c>
    </row>
    <row r="104">
      <c r="A104" t="inlineStr">
        <is>
          <t>FY2034</t>
        </is>
      </c>
      <c r="B104" s="21">
        <f>Contributions!B184+Contributions!B201</f>
        <v>372</v>
      </c>
      <c r="C104" s="21">
        <f>C103+B104</f>
        <v>53539</v>
      </c>
      <c r="D104" s="21">
        <f>Contributions!C184+Contributions!C201</f>
        <v>121</v>
      </c>
      <c r="E104" s="21">
        <f>E103+D104</f>
        <v>17406</v>
      </c>
      <c r="F104" s="21">
        <f>Contributions!D184+Contributions!D201</f>
        <v>15</v>
      </c>
      <c r="G104" s="21">
        <f>G103+F104</f>
        <v>2172</v>
      </c>
      <c r="H104" s="21">
        <f>Contributions!E184+Contributions!E201</f>
        <v>135</v>
      </c>
      <c r="I104" s="21">
        <f>I103+H104</f>
        <v>19390</v>
      </c>
      <c r="J104" s="21">
        <f>Contributions!F184+Contributions!F201</f>
        <v>0</v>
      </c>
      <c r="K104" s="21">
        <f>K103+J104</f>
        <v>0</v>
      </c>
      <c r="L104" s="21">
        <f>Contributions!G184+Contributions!G201</f>
        <v>0</v>
      </c>
      <c r="M104" s="21">
        <f>M103+L104</f>
        <v>0</v>
      </c>
      <c r="N104" s="21">
        <f>Contributions!H184+Contributions!H201</f>
        <v>129</v>
      </c>
      <c r="O104" s="21">
        <f>O103+N104</f>
        <v>18535</v>
      </c>
      <c r="P104" s="21">
        <f>Contributions!I184+Contributions!I201</f>
        <v>221710</v>
      </c>
      <c r="Q104" s="21">
        <f>Q103+P104</f>
        <v>443942</v>
      </c>
      <c r="R104" s="21">
        <f>C104+E104+G104+I104+K104+M104+Q104</f>
        <v>536449</v>
      </c>
      <c r="S104" s="17">
        <f>C104+E104+G104+I104+K104+M104+O104+Q104</f>
        <v>554984</v>
      </c>
    </row>
    <row r="105">
      <c r="A105" t="inlineStr">
        <is>
          <t>FY2035</t>
        </is>
      </c>
      <c r="B105" s="21">
        <f>Contributions!B185+Contributions!B202</f>
        <v>375</v>
      </c>
      <c r="C105" s="21">
        <f>C104+B105</f>
        <v>53914</v>
      </c>
      <c r="D105" s="21">
        <f>Contributions!C185+Contributions!C202</f>
        <v>122</v>
      </c>
      <c r="E105" s="21">
        <f>E104+D105</f>
        <v>17528</v>
      </c>
      <c r="F105" s="21">
        <f>Contributions!D185+Contributions!D202</f>
        <v>-2172</v>
      </c>
      <c r="G105" s="21">
        <f>G104+F105</f>
        <v>0</v>
      </c>
      <c r="H105" s="21">
        <f>Contributions!E185+Contributions!E202</f>
        <v>136</v>
      </c>
      <c r="I105" s="21">
        <f>I104+H105</f>
        <v>19526</v>
      </c>
      <c r="J105" s="21">
        <f>Contributions!F185+Contributions!F202</f>
        <v>0</v>
      </c>
      <c r="K105" s="21">
        <f>K104+J105</f>
        <v>0</v>
      </c>
      <c r="L105" s="21">
        <f>Contributions!G185+Contributions!G202</f>
        <v>0</v>
      </c>
      <c r="M105" s="21">
        <f>M104+L105</f>
        <v>0</v>
      </c>
      <c r="N105" s="21">
        <f>Contributions!H185+Contributions!H202</f>
        <v>130</v>
      </c>
      <c r="O105" s="21">
        <f>O104+N105</f>
        <v>18665</v>
      </c>
      <c r="P105" s="21">
        <f>Contributions!I185+Contributions!I202</f>
        <v>-445780</v>
      </c>
      <c r="Q105" s="21">
        <f>Q104+P105</f>
        <v>-1838</v>
      </c>
      <c r="R105" s="21">
        <f>C105+E105+G105+I105+K105+M105+Q105</f>
        <v>89130</v>
      </c>
      <c r="S105" s="17">
        <f>C105+E105+G105+I105+K105+M105+O105+Q105</f>
        <v>107795</v>
      </c>
    </row>
    <row r="106">
      <c r="A106" t="inlineStr">
        <is>
          <t>FY2036</t>
        </is>
      </c>
      <c r="B106" s="21">
        <f>Contributions!B186+Contributions!B203</f>
        <v>378</v>
      </c>
      <c r="C106" s="21">
        <f>C105+B106</f>
        <v>54292</v>
      </c>
      <c r="D106" s="21">
        <f>Contributions!C186+Contributions!C203</f>
        <v>123</v>
      </c>
      <c r="E106" s="21">
        <f>E105+D106</f>
        <v>17651</v>
      </c>
      <c r="F106" s="21">
        <f>Contributions!D186+Contributions!D203</f>
        <v>0</v>
      </c>
      <c r="G106" s="21">
        <f>G105+F106</f>
        <v>0</v>
      </c>
      <c r="H106" s="21">
        <f>Contributions!E186+Contributions!E203</f>
        <v>136</v>
      </c>
      <c r="I106" s="21">
        <f>I105+H106</f>
        <v>19662</v>
      </c>
      <c r="J106" s="21">
        <f>Contributions!F186+Contributions!F203</f>
        <v>0</v>
      </c>
      <c r="K106" s="21">
        <f>K105+J106</f>
        <v>0</v>
      </c>
      <c r="L106" s="21">
        <f>Contributions!G186+Contributions!G203</f>
        <v>0</v>
      </c>
      <c r="M106" s="21">
        <f>M105+L106</f>
        <v>0</v>
      </c>
      <c r="N106" s="21">
        <f>Contributions!H186+Contributions!H203</f>
        <v>130</v>
      </c>
      <c r="O106" s="21">
        <f>O105+N106</f>
        <v>18795</v>
      </c>
      <c r="P106" s="21">
        <f>Contributions!I186+Contributions!I203</f>
        <v>15493</v>
      </c>
      <c r="Q106" s="21">
        <f>Q105+P106</f>
        <v>13655</v>
      </c>
      <c r="R106" s="21">
        <f>C106+E106+G106+I106+K106+M106+Q106</f>
        <v>105260</v>
      </c>
      <c r="S106" s="17">
        <f>C106+E106+G106+I106+K106+M106+O106+Q106</f>
        <v>124055</v>
      </c>
    </row>
    <row r="107">
      <c r="A107" t="inlineStr">
        <is>
          <t>FY2037</t>
        </is>
      </c>
      <c r="B107" s="21">
        <f>Contributions!B187+Contributions!B204</f>
        <v>380</v>
      </c>
      <c r="C107" s="21">
        <f>C106+B107</f>
        <v>54672</v>
      </c>
      <c r="D107" s="21">
        <f>Contributions!C187+Contributions!C204</f>
        <v>124</v>
      </c>
      <c r="E107" s="21">
        <f>E106+D107</f>
        <v>17775</v>
      </c>
      <c r="F107" s="21">
        <f>Contributions!D187+Contributions!D204</f>
        <v>0</v>
      </c>
      <c r="G107" s="21">
        <f>G106+F107</f>
        <v>0</v>
      </c>
      <c r="H107" s="21">
        <f>Contributions!E187+Contributions!E204</f>
        <v>138</v>
      </c>
      <c r="I107" s="21">
        <f>I106+H107</f>
        <v>19800</v>
      </c>
      <c r="J107" s="21">
        <f>Contributions!F187+Contributions!F204</f>
        <v>0</v>
      </c>
      <c r="K107" s="21">
        <f>K106+J107</f>
        <v>0</v>
      </c>
      <c r="L107" s="21">
        <f>Contributions!G187+Contributions!G204</f>
        <v>0</v>
      </c>
      <c r="M107" s="21">
        <f>M106+L107</f>
        <v>0</v>
      </c>
      <c r="N107" s="21">
        <f>Contributions!H187+Contributions!H204</f>
        <v>132</v>
      </c>
      <c r="O107" s="21">
        <f>O106+N107</f>
        <v>18927</v>
      </c>
      <c r="P107" s="21">
        <f>Contributions!I187+Contributions!I204</f>
        <v>7487</v>
      </c>
      <c r="Q107" s="21">
        <f>Q106+P107</f>
        <v>21142</v>
      </c>
      <c r="R107" s="21">
        <f>C107+E107+G107+I107+K107+M107+Q107</f>
        <v>113389</v>
      </c>
      <c r="S107" s="17">
        <f>C107+E107+G107+I107+K107+M107+O107+Q107</f>
        <v>132316</v>
      </c>
    </row>
    <row r="108">
      <c r="A108" t="inlineStr">
        <is>
          <t>FY2038</t>
        </is>
      </c>
      <c r="B108" s="21">
        <f>Contributions!B188+Contributions!B205</f>
        <v>382</v>
      </c>
      <c r="C108" s="21">
        <f>C107+B108</f>
        <v>55054</v>
      </c>
      <c r="D108" s="21">
        <f>Contributions!C188+Contributions!C205</f>
        <v>124</v>
      </c>
      <c r="E108" s="21">
        <f>E107+D108</f>
        <v>17899</v>
      </c>
      <c r="F108" s="21">
        <f>Contributions!D188+Contributions!D205</f>
        <v>0</v>
      </c>
      <c r="G108" s="21">
        <f>G107+F108</f>
        <v>0</v>
      </c>
      <c r="H108" s="21">
        <f>Contributions!E188+Contributions!E205</f>
        <v>139</v>
      </c>
      <c r="I108" s="21">
        <f>I107+H108</f>
        <v>19939</v>
      </c>
      <c r="J108" s="21">
        <f>Contributions!F188+Contributions!F205</f>
        <v>0</v>
      </c>
      <c r="K108" s="21">
        <f>K107+J108</f>
        <v>0</v>
      </c>
      <c r="L108" s="21">
        <f>Contributions!G188+Contributions!G205</f>
        <v>0</v>
      </c>
      <c r="M108" s="21">
        <f>M107+L108</f>
        <v>0</v>
      </c>
      <c r="N108" s="21">
        <f>Contributions!H188+Contributions!H205</f>
        <v>132</v>
      </c>
      <c r="O108" s="21">
        <f>O107+N108</f>
        <v>19059</v>
      </c>
      <c r="P108" s="21">
        <f>Contributions!I188+Contributions!I205</f>
        <v>147040</v>
      </c>
      <c r="Q108" s="21">
        <f>Q107+P108</f>
        <v>168182</v>
      </c>
      <c r="R108" s="21">
        <f>C108+E108+G108+I108+K108+M108+Q108</f>
        <v>261074</v>
      </c>
      <c r="S108" s="17">
        <f>C108+E108+G108+I108+K108+M108+O108+Q108</f>
        <v>280133</v>
      </c>
    </row>
    <row r="109">
      <c r="A109" t="inlineStr">
        <is>
          <t>FY2039</t>
        </is>
      </c>
      <c r="B109" s="21">
        <f>Contributions!B189+Contributions!B206</f>
        <v>386</v>
      </c>
      <c r="C109" s="21">
        <f>C108+B109</f>
        <v>55440</v>
      </c>
      <c r="D109" s="21">
        <f>Contributions!C189+Contributions!C206</f>
        <v>125</v>
      </c>
      <c r="E109" s="21">
        <f>E108+D109</f>
        <v>18024</v>
      </c>
      <c r="F109" s="21">
        <f>Contributions!D189+Contributions!D206</f>
        <v>0</v>
      </c>
      <c r="G109" s="21">
        <f>G108+F109</f>
        <v>0</v>
      </c>
      <c r="H109" s="21">
        <f>Contributions!E189+Contributions!E206</f>
        <v>139</v>
      </c>
      <c r="I109" s="21">
        <f>I108+H109</f>
        <v>20078</v>
      </c>
      <c r="J109" s="21">
        <f>Contributions!F189+Contributions!F206</f>
        <v>0</v>
      </c>
      <c r="K109" s="21">
        <f>K108+J109</f>
        <v>0</v>
      </c>
      <c r="L109" s="21">
        <f>Contributions!G189+Contributions!G206</f>
        <v>0</v>
      </c>
      <c r="M109" s="21">
        <f>M108+L109</f>
        <v>0</v>
      </c>
      <c r="N109" s="21">
        <f>Contributions!H189+Contributions!H206</f>
        <v>134</v>
      </c>
      <c r="O109" s="21">
        <f>O108+N109</f>
        <v>19193</v>
      </c>
      <c r="P109" s="21">
        <f>Contributions!I189+Contributions!I206</f>
        <v>205055</v>
      </c>
      <c r="Q109" s="21">
        <f>Q108+P109</f>
        <v>373237</v>
      </c>
      <c r="R109" s="21">
        <f>C109+E109+G109+I109+K109+M109+Q109</f>
        <v>466779</v>
      </c>
      <c r="S109" s="17">
        <f>C109+E109+G109+I109+K109+M109+O109+Q109</f>
        <v>485972</v>
      </c>
    </row>
    <row r="110">
      <c r="A110" t="inlineStr">
        <is>
          <t>FY2040</t>
        </is>
      </c>
      <c r="B110" s="21">
        <f>Contributions!B190+Contributions!B207</f>
        <v>388</v>
      </c>
      <c r="C110" s="21">
        <f>C109+B110</f>
        <v>55828</v>
      </c>
      <c r="D110" s="21">
        <f>Contributions!C190+Contributions!C207</f>
        <v>126</v>
      </c>
      <c r="E110" s="21">
        <f>E109+D110</f>
        <v>18150</v>
      </c>
      <c r="F110" s="21">
        <f>Contributions!D190+Contributions!D207</f>
        <v>0</v>
      </c>
      <c r="G110" s="21">
        <f>G109+F110</f>
        <v>0</v>
      </c>
      <c r="H110" s="21">
        <f>Contributions!E190+Contributions!E207</f>
        <v>141</v>
      </c>
      <c r="I110" s="21">
        <f>I109+H110</f>
        <v>20219</v>
      </c>
      <c r="J110" s="21">
        <f>Contributions!F190+Contributions!F207</f>
        <v>0</v>
      </c>
      <c r="K110" s="21">
        <f>K109+J110</f>
        <v>0</v>
      </c>
      <c r="L110" s="21">
        <f>Contributions!G190+Contributions!G207</f>
        <v>0</v>
      </c>
      <c r="M110" s="21">
        <f>M109+L110</f>
        <v>0</v>
      </c>
      <c r="N110" s="21">
        <f>Contributions!H190+Contributions!H207</f>
        <v>134</v>
      </c>
      <c r="O110" s="21">
        <f>O109+N110</f>
        <v>19327</v>
      </c>
      <c r="P110" s="21">
        <f>Contributions!I190+Contributions!I207</f>
        <v>9255</v>
      </c>
      <c r="Q110" s="21">
        <f>Q109+P110</f>
        <v>382492</v>
      </c>
      <c r="R110" s="21">
        <f>C110+E110+G110+I110+K110+M110+Q110</f>
        <v>476689</v>
      </c>
      <c r="S110" s="17">
        <f>C110+E110+G110+I110+K110+M110+O110+Q110</f>
        <v>496016</v>
      </c>
    </row>
    <row r="111">
      <c r="A111" t="inlineStr">
        <is>
          <t>FY2041</t>
        </is>
      </c>
      <c r="B111" s="21">
        <f>Contributions!B191+Contributions!B208</f>
        <v>391</v>
      </c>
      <c r="C111" s="21">
        <f>C110+B111</f>
        <v>56219</v>
      </c>
      <c r="D111" s="21">
        <f>Contributions!C191+Contributions!C208</f>
        <v>127</v>
      </c>
      <c r="E111" s="21">
        <f>E110+D111</f>
        <v>18277</v>
      </c>
      <c r="F111" s="21">
        <f>Contributions!D191+Contributions!D208</f>
        <v>0</v>
      </c>
      <c r="G111" s="21">
        <f>G110+F111</f>
        <v>0</v>
      </c>
      <c r="H111" s="21">
        <f>Contributions!E191+Contributions!E208</f>
        <v>141</v>
      </c>
      <c r="I111" s="21">
        <f>I110+H111</f>
        <v>20360</v>
      </c>
      <c r="J111" s="21">
        <f>Contributions!F191+Contributions!F208</f>
        <v>0</v>
      </c>
      <c r="K111" s="21">
        <f>K110+J111</f>
        <v>0</v>
      </c>
      <c r="L111" s="21">
        <f>Contributions!G191+Contributions!G208</f>
        <v>0</v>
      </c>
      <c r="M111" s="21">
        <f>M110+L111</f>
        <v>0</v>
      </c>
      <c r="N111" s="21">
        <f>Contributions!H191+Contributions!H208</f>
        <v>135</v>
      </c>
      <c r="O111" s="21">
        <f>O110+N111</f>
        <v>19462</v>
      </c>
      <c r="P111" s="21">
        <f>Contributions!I191+Contributions!I208</f>
        <v>517677</v>
      </c>
      <c r="Q111" s="21">
        <f>Q110+P111</f>
        <v>900169</v>
      </c>
      <c r="R111" s="21">
        <f>C111+E111+G111+I111+K111+M111+Q111</f>
        <v>995025</v>
      </c>
      <c r="S111" s="17">
        <f>C111+E111+G111+I111+K111+M111+O111+Q111</f>
        <v>1014487</v>
      </c>
    </row>
    <row r="112">
      <c r="A112" t="inlineStr">
        <is>
          <t>FY2042</t>
        </is>
      </c>
      <c r="B112" s="21">
        <f>Contributions!B192+Contributions!B209</f>
        <v>393</v>
      </c>
      <c r="C112" s="21">
        <f>C111+B112</f>
        <v>56612</v>
      </c>
      <c r="D112" s="21">
        <f>Contributions!C192+Contributions!C209</f>
        <v>128</v>
      </c>
      <c r="E112" s="21">
        <f>E111+D112</f>
        <v>18405</v>
      </c>
      <c r="F112" s="21">
        <f>Contributions!D192+Contributions!D209</f>
        <v>0</v>
      </c>
      <c r="G112" s="21">
        <f>G111+F112</f>
        <v>0</v>
      </c>
      <c r="H112" s="21">
        <f>Contributions!E192+Contributions!E209</f>
        <v>143</v>
      </c>
      <c r="I112" s="21">
        <f>I111+H112</f>
        <v>20503</v>
      </c>
      <c r="J112" s="21">
        <f>Contributions!F192+Contributions!F209</f>
        <v>0</v>
      </c>
      <c r="K112" s="21">
        <f>K111+J112</f>
        <v>0</v>
      </c>
      <c r="L112" s="21">
        <f>Contributions!G192+Contributions!G209</f>
        <v>0</v>
      </c>
      <c r="M112" s="21">
        <f>M111+L112</f>
        <v>0</v>
      </c>
      <c r="N112" s="21">
        <f>Contributions!H192+Contributions!H209</f>
        <v>137</v>
      </c>
      <c r="O112" s="21">
        <f>O111+N112</f>
        <v>19599</v>
      </c>
      <c r="P112" s="21">
        <f>Contributions!I192+Contributions!I209</f>
        <v>249801</v>
      </c>
      <c r="Q112" s="21">
        <f>Q111+P112</f>
        <v>1149970</v>
      </c>
      <c r="R112" s="21">
        <f>C112+E112+G112+I112+K112+M112+Q112</f>
        <v>1245490</v>
      </c>
      <c r="S112" s="17">
        <f>C112+E112+G112+I112+K112+M112+O112+Q112</f>
        <v>1265089</v>
      </c>
    </row>
    <row r="113">
      <c r="A113" s="16" t="inlineStr">
        <is>
          <t>Min balance</t>
        </is>
      </c>
      <c r="C113" s="21">
        <f>MIN(C98:C112)</f>
        <v>51345</v>
      </c>
      <c r="E113" s="21">
        <f>MIN(E98:E112)</f>
        <v>17285</v>
      </c>
      <c r="G113" s="21">
        <f>MIN(G98:G112)</f>
        <v>0</v>
      </c>
      <c r="I113" s="21">
        <f>MIN(I98:I112)</f>
        <v>18595</v>
      </c>
      <c r="K113" s="21">
        <f>MIN(K98:K112)</f>
        <v>0</v>
      </c>
      <c r="M113" s="21">
        <f>MIN(M98:M112)</f>
        <v>0</v>
      </c>
      <c r="O113" s="21">
        <f>MIN(O98:O112)</f>
        <v>18151</v>
      </c>
      <c r="Q113" s="21">
        <f>MIN(Q98:Q112)</f>
        <v>-1838</v>
      </c>
      <c r="S113" s="17">
        <f>MIN(C113,E113,G113,I113,K113,M113,O113,Q113)</f>
        <v>-1838</v>
      </c>
    </row>
    <row r="114">
      <c r="B114" s="6" t="inlineStr">
        <is>
          <t>small purchases (≤$15,000) are cash-flowed in-fund; a dip is a payable within a −$15,000 tolerance, never new borrowing — the Summary check row flags anything beyond it</t>
        </is>
      </c>
    </row>
    <row r="115">
      <c r="A115" s="6" t="inlineStr">
        <is>
          <t>Net columns are live: deposits plus other flows from the Contributions sheet, where each plan's allocation rule is stated; balances and totals are running formulas seeded from the Inputs starting balances. Edit a deposit or flow on Contributions and everything downstream — here, Annual — Detail, Summary, true cost, What-If — recomputes. Bond proceeds are borrowed cash awaiting spending, offset dollar for dollar by debt — not savings: compare plans on the reserve-funds column, or better on net position. A plan can hold more in its funds while owing far more — reserves that sit while purchases are financed are current practice's pattern, not a strength.</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12.xml><?xml version="1.0" encoding="utf-8"?>
<worksheet xmlns="http://schemas.openxmlformats.org/spreadsheetml/2006/main">
  <sheetPr>
    <tabColor rgb="FF6B7280"/>
    <outlinePr summaryBelow="1" summaryRight="1"/>
    <pageSetUpPr fitToPage="1"/>
  </sheetPr>
  <dimension ref="A1:G82"/>
  <sheetViews>
    <sheetView workbookViewId="0">
      <pane ySplit="1" topLeftCell="A2" activePane="bottomLeft" state="frozen"/>
      <selection pane="bottomLeft" activeCell="A1" sqref="A1"/>
    </sheetView>
  </sheetViews>
  <sheetFormatPr baseColWidth="8" defaultRowHeight="15"/>
  <cols>
    <col width="30" customWidth="1" min="1" max="1"/>
    <col width="12" customWidth="1" min="2" max="2"/>
    <col width="38" customWidth="1" min="3" max="3"/>
    <col width="16" customWidth="1" min="4" max="4"/>
    <col width="30" customWidth="1" min="5" max="5"/>
    <col width="9" customWidth="1" min="6" max="6"/>
    <col width="7" customWidth="1" min="7" max="7"/>
  </cols>
  <sheetData>
    <row r="1">
      <c r="A1" s="14" t="inlineStr">
        <is>
          <t>Plan</t>
        </is>
      </c>
      <c r="B1" s="14" t="inlineStr">
        <is>
          <t>Fiscal year</t>
        </is>
      </c>
      <c r="C1" s="14" t="inlineStr">
        <is>
          <t>Item</t>
        </is>
      </c>
      <c r="D1" s="14" t="inlineStr">
        <is>
          <t>Amount financed</t>
        </is>
      </c>
      <c r="E1" s="14" t="inlineStr">
        <is>
          <t>Kind</t>
        </is>
      </c>
      <c r="F1" s="14" t="inlineStr">
        <is>
          <t>Plan ID</t>
        </is>
      </c>
      <c r="G1" s="14" t="inlineStr">
        <is>
          <t>Bond?</t>
        </is>
      </c>
    </row>
    <row r="2">
      <c r="A2" t="inlineStr">
        <is>
          <t>Current practice</t>
        </is>
      </c>
      <c r="B2" s="39" t="n">
        <v>2028</v>
      </c>
      <c r="C2" t="inlineStr">
        <is>
          <t>Capital program bond (Engine 1, Engine 6, Shady Rill section 1, Tanker)</t>
        </is>
      </c>
      <c r="D2" s="26" t="n">
        <v>2365169</v>
      </c>
      <c r="E2" s="41" t="inlineStr">
        <is>
          <t>VMBB ballot question (&gt;5-yr)</t>
        </is>
      </c>
      <c r="F2" s="42" t="inlineStr">
        <is>
          <t>P0</t>
        </is>
      </c>
      <c r="G2" s="43" t="n">
        <v>1</v>
      </c>
    </row>
    <row r="3">
      <c r="A3" t="inlineStr">
        <is>
          <t>Current practice</t>
        </is>
      </c>
      <c r="B3" s="39" t="n">
        <v>2028</v>
      </c>
      <c r="C3" t="inlineStr">
        <is>
          <t>International 10-wheeler dump (backlog)</t>
        </is>
      </c>
      <c r="D3" s="26" t="n">
        <v>246500</v>
      </c>
      <c r="E3" s="41" t="inlineStr">
        <is>
          <t>vendor installment article</t>
        </is>
      </c>
      <c r="F3" s="42" t="inlineStr">
        <is>
          <t>P0</t>
        </is>
      </c>
      <c r="G3" s="43" t="n">
        <v>0</v>
      </c>
    </row>
    <row r="4">
      <c r="A4" t="inlineStr">
        <is>
          <t>Current practice</t>
        </is>
      </c>
      <c r="B4" s="39" t="n">
        <v>2028</v>
      </c>
      <c r="C4" t="inlineStr">
        <is>
          <t>Caterpillar backhoe</t>
        </is>
      </c>
      <c r="D4" s="26" t="n">
        <v>153000</v>
      </c>
      <c r="E4" s="41" t="inlineStr">
        <is>
          <t>5-yr note article</t>
        </is>
      </c>
      <c r="F4" s="42" t="inlineStr">
        <is>
          <t>P0</t>
        </is>
      </c>
      <c r="G4" s="43" t="n">
        <v>0</v>
      </c>
    </row>
    <row r="5">
      <c r="A5" t="inlineStr">
        <is>
          <t>Current practice</t>
        </is>
      </c>
      <c r="B5" s="39" t="n">
        <v>2029</v>
      </c>
      <c r="C5" t="inlineStr">
        <is>
          <t>Freightliner 6-wheeler dump (backlog)</t>
        </is>
      </c>
      <c r="D5" s="26" t="n">
        <v>238000</v>
      </c>
      <c r="E5" s="41" t="inlineStr">
        <is>
          <t>vendor installment article</t>
        </is>
      </c>
      <c r="F5" s="42" t="inlineStr">
        <is>
          <t>P0</t>
        </is>
      </c>
      <c r="G5" s="43" t="n">
        <v>0</v>
      </c>
    </row>
    <row r="6">
      <c r="A6" t="inlineStr">
        <is>
          <t>Current practice</t>
        </is>
      </c>
      <c r="B6" s="39" t="n">
        <v>2029</v>
      </c>
      <c r="C6" t="inlineStr">
        <is>
          <t>Pickup with plow</t>
        </is>
      </c>
      <c r="D6" s="26" t="n">
        <v>68000</v>
      </c>
      <c r="E6" s="41" t="inlineStr">
        <is>
          <t>5-yr note article</t>
        </is>
      </c>
      <c r="F6" s="42" t="inlineStr">
        <is>
          <t>P0</t>
        </is>
      </c>
      <c r="G6" s="43" t="n">
        <v>0</v>
      </c>
    </row>
    <row r="7">
      <c r="A7" t="inlineStr">
        <is>
          <t>Current practice</t>
        </is>
      </c>
      <c r="B7" s="39" t="n">
        <v>2030</v>
      </c>
      <c r="C7" t="inlineStr">
        <is>
          <t>Kenworth dump truck</t>
        </is>
      </c>
      <c r="D7" s="26" t="n">
        <v>178500</v>
      </c>
      <c r="E7" s="41" t="inlineStr">
        <is>
          <t>5-yr note article</t>
        </is>
      </c>
      <c r="F7" s="42" t="inlineStr">
        <is>
          <t>P0</t>
        </is>
      </c>
      <c r="G7" s="43" t="n">
        <v>0</v>
      </c>
    </row>
    <row r="8">
      <c r="A8" t="inlineStr">
        <is>
          <t>Current practice</t>
        </is>
      </c>
      <c r="B8" s="39" t="n">
        <v>2035</v>
      </c>
      <c r="C8" t="inlineStr">
        <is>
          <t>Capital program bond (Rescue)</t>
        </is>
      </c>
      <c r="D8" s="26" t="n">
        <v>450438</v>
      </c>
      <c r="E8" s="41" t="inlineStr">
        <is>
          <t>VMBB ballot question (&gt;5-yr)</t>
        </is>
      </c>
      <c r="F8" s="42" t="inlineStr">
        <is>
          <t>P0</t>
        </is>
      </c>
      <c r="G8" s="43" t="n">
        <v>1</v>
      </c>
    </row>
    <row r="9">
      <c r="A9" t="inlineStr">
        <is>
          <t>Current practice</t>
        </is>
      </c>
      <c r="B9" s="39" t="n">
        <v>2036</v>
      </c>
      <c r="C9" t="inlineStr">
        <is>
          <t>Grader</t>
        </is>
      </c>
      <c r="D9" s="26" t="n">
        <v>289000</v>
      </c>
      <c r="E9" s="41" t="inlineStr">
        <is>
          <t>vendor installment article</t>
        </is>
      </c>
      <c r="F9" s="42" t="inlineStr">
        <is>
          <t>P0</t>
        </is>
      </c>
      <c r="G9" s="43" t="n">
        <v>0</v>
      </c>
    </row>
    <row r="10">
      <c r="A10" t="inlineStr">
        <is>
          <t>Current practice</t>
        </is>
      </c>
      <c r="B10" s="39" t="n">
        <v>2037</v>
      </c>
      <c r="C10" t="inlineStr">
        <is>
          <t>Freightliner 6-wheeler dump</t>
        </is>
      </c>
      <c r="D10" s="26" t="n">
        <v>238000</v>
      </c>
      <c r="E10" s="41" t="inlineStr">
        <is>
          <t>vendor installment article</t>
        </is>
      </c>
      <c r="F10" s="42" t="inlineStr">
        <is>
          <t>P0</t>
        </is>
      </c>
      <c r="G10" s="43" t="n">
        <v>0</v>
      </c>
    </row>
    <row r="11">
      <c r="A11" t="inlineStr">
        <is>
          <t>Current practice</t>
        </is>
      </c>
      <c r="B11" s="39" t="n">
        <v>2038</v>
      </c>
      <c r="C11" t="inlineStr">
        <is>
          <t>Kenworth dump truck</t>
        </is>
      </c>
      <c r="D11" s="26" t="n">
        <v>178500</v>
      </c>
      <c r="E11" s="41" t="inlineStr">
        <is>
          <t>5-yr note article</t>
        </is>
      </c>
      <c r="F11" s="42" t="inlineStr">
        <is>
          <t>P0</t>
        </is>
      </c>
      <c r="G11" s="43" t="n">
        <v>0</v>
      </c>
    </row>
    <row r="12">
      <c r="A12" t="inlineStr">
        <is>
          <t>Current practice</t>
        </is>
      </c>
      <c r="B12" s="39" t="n">
        <v>2039</v>
      </c>
      <c r="C12" t="inlineStr">
        <is>
          <t>Shady Rill section 2</t>
        </is>
      </c>
      <c r="D12" s="26" t="n">
        <v>121515</v>
      </c>
      <c r="E12" s="41" t="inlineStr">
        <is>
          <t>5-yr note article</t>
        </is>
      </c>
      <c r="F12" s="42" t="inlineStr">
        <is>
          <t>P0</t>
        </is>
      </c>
      <c r="G12" s="43" t="n">
        <v>0</v>
      </c>
    </row>
    <row r="13">
      <c r="A13" t="inlineStr">
        <is>
          <t>Current practice</t>
        </is>
      </c>
      <c r="B13" s="39" t="n">
        <v>2040</v>
      </c>
      <c r="C13" t="inlineStr">
        <is>
          <t>Komatsu loader</t>
        </is>
      </c>
      <c r="D13" s="26" t="n">
        <v>148750</v>
      </c>
      <c r="E13" s="41" t="inlineStr">
        <is>
          <t>5-yr note article</t>
        </is>
      </c>
      <c r="F13" s="42" t="inlineStr">
        <is>
          <t>P0</t>
        </is>
      </c>
      <c r="G13" s="43" t="n">
        <v>0</v>
      </c>
    </row>
    <row r="14">
      <c r="A14" t="inlineStr">
        <is>
          <t>Current practice</t>
        </is>
      </c>
      <c r="B14" s="39" t="n">
        <v>2042</v>
      </c>
      <c r="C14" t="inlineStr">
        <is>
          <t>International 10-wheeler dump</t>
        </is>
      </c>
      <c r="D14" s="26" t="n">
        <v>246500</v>
      </c>
      <c r="E14" s="41" t="inlineStr">
        <is>
          <t>vendor installment article</t>
        </is>
      </c>
      <c r="F14" s="42" t="inlineStr">
        <is>
          <t>P0</t>
        </is>
      </c>
      <c r="G14" s="43" t="n">
        <v>0</v>
      </c>
    </row>
    <row r="15">
      <c r="A15" t="inlineStr">
        <is>
          <t>Save $50,000 more a year</t>
        </is>
      </c>
      <c r="B15" s="39" t="n">
        <v>2028</v>
      </c>
      <c r="C15" t="inlineStr">
        <is>
          <t>Capital program bond (Engine 1, Engine 6, Shady Rill section 1, Tanker)</t>
        </is>
      </c>
      <c r="D15" s="26" t="n">
        <v>2194806</v>
      </c>
      <c r="E15" s="41" t="inlineStr">
        <is>
          <t>VMBB ballot question (&gt;5-yr)</t>
        </is>
      </c>
      <c r="F15" s="42" t="inlineStr">
        <is>
          <t>P1</t>
        </is>
      </c>
      <c r="G15" s="43" t="n">
        <v>1</v>
      </c>
    </row>
    <row r="16">
      <c r="A16" t="inlineStr">
        <is>
          <t>Save $50,000 more a year</t>
        </is>
      </c>
      <c r="B16" s="39" t="n">
        <v>2028</v>
      </c>
      <c r="C16" t="inlineStr">
        <is>
          <t>International 10-wheeler dump (backlog)</t>
        </is>
      </c>
      <c r="D16" s="26" t="n">
        <v>21042</v>
      </c>
      <c r="E16" s="41" t="inlineStr">
        <is>
          <t>5-yr note article</t>
        </is>
      </c>
      <c r="F16" s="42" t="inlineStr">
        <is>
          <t>P1</t>
        </is>
      </c>
      <c r="G16" s="43" t="n">
        <v>0</v>
      </c>
    </row>
    <row r="17">
      <c r="A17" t="inlineStr">
        <is>
          <t>Save $50,000 more a year</t>
        </is>
      </c>
      <c r="B17" s="39" t="n">
        <v>2028</v>
      </c>
      <c r="C17" t="inlineStr">
        <is>
          <t>Caterpillar backhoe</t>
        </is>
      </c>
      <c r="D17" s="26" t="n">
        <v>153000</v>
      </c>
      <c r="E17" s="41" t="inlineStr">
        <is>
          <t>5-yr note article</t>
        </is>
      </c>
      <c r="F17" s="42" t="inlineStr">
        <is>
          <t>P1</t>
        </is>
      </c>
      <c r="G17" s="43" t="n">
        <v>0</v>
      </c>
    </row>
    <row r="18">
      <c r="A18" t="inlineStr">
        <is>
          <t>Save $50,000 more a year</t>
        </is>
      </c>
      <c r="B18" s="39" t="n">
        <v>2028</v>
      </c>
      <c r="C18" t="inlineStr">
        <is>
          <t>Komatsu loader (backlog)</t>
        </is>
      </c>
      <c r="D18" s="26" t="n">
        <v>148750</v>
      </c>
      <c r="E18" s="41" t="inlineStr">
        <is>
          <t>5-yr note article</t>
        </is>
      </c>
      <c r="F18" s="42" t="inlineStr">
        <is>
          <t>P1</t>
        </is>
      </c>
      <c r="G18" s="43" t="n">
        <v>0</v>
      </c>
    </row>
    <row r="19">
      <c r="A19" t="inlineStr">
        <is>
          <t>Save $50,000 more a year</t>
        </is>
      </c>
      <c r="B19" s="39" t="n">
        <v>2029</v>
      </c>
      <c r="C19" t="inlineStr">
        <is>
          <t>Freightliner 6-wheeler dump (backlog)</t>
        </is>
      </c>
      <c r="D19" s="26" t="n">
        <v>112000</v>
      </c>
      <c r="E19" s="41" t="inlineStr">
        <is>
          <t>5-yr note article</t>
        </is>
      </c>
      <c r="F19" s="42" t="inlineStr">
        <is>
          <t>P1</t>
        </is>
      </c>
      <c r="G19" s="43" t="n">
        <v>0</v>
      </c>
    </row>
    <row r="20">
      <c r="A20" t="inlineStr">
        <is>
          <t>Save $50,000 more a year</t>
        </is>
      </c>
      <c r="B20" s="39" t="n">
        <v>2029</v>
      </c>
      <c r="C20" t="inlineStr">
        <is>
          <t>Pickup with plow</t>
        </is>
      </c>
      <c r="D20" s="26" t="n">
        <v>68000</v>
      </c>
      <c r="E20" s="41" t="inlineStr">
        <is>
          <t>5-yr note article</t>
        </is>
      </c>
      <c r="F20" s="42" t="inlineStr">
        <is>
          <t>P1</t>
        </is>
      </c>
      <c r="G20" s="43" t="n">
        <v>0</v>
      </c>
    </row>
    <row r="21">
      <c r="A21" t="inlineStr">
        <is>
          <t>Save $50,000 more a year</t>
        </is>
      </c>
      <c r="B21" s="39" t="n">
        <v>2030</v>
      </c>
      <c r="C21" t="inlineStr">
        <is>
          <t>Kenworth dump truck</t>
        </is>
      </c>
      <c r="D21" s="26" t="n">
        <v>52500</v>
      </c>
      <c r="E21" s="41" t="inlineStr">
        <is>
          <t>5-yr note article</t>
        </is>
      </c>
      <c r="F21" s="42" t="inlineStr">
        <is>
          <t>P1</t>
        </is>
      </c>
      <c r="G21" s="43" t="n">
        <v>0</v>
      </c>
    </row>
    <row r="22">
      <c r="A22" t="inlineStr">
        <is>
          <t>Save $50,000 more a year</t>
        </is>
      </c>
      <c r="B22" s="39" t="n">
        <v>2035</v>
      </c>
      <c r="C22" t="inlineStr">
        <is>
          <t>Rescue</t>
        </is>
      </c>
      <c r="D22" s="26" t="n">
        <v>195440</v>
      </c>
      <c r="E22" s="41" t="inlineStr">
        <is>
          <t>5-yr note article</t>
        </is>
      </c>
      <c r="F22" s="42" t="inlineStr">
        <is>
          <t>P1</t>
        </is>
      </c>
      <c r="G22" s="43" t="n">
        <v>0</v>
      </c>
    </row>
    <row r="23">
      <c r="A23" t="inlineStr">
        <is>
          <t>Save $50,000 more a year</t>
        </is>
      </c>
      <c r="B23" s="39" t="n">
        <v>2036</v>
      </c>
      <c r="C23" t="inlineStr">
        <is>
          <t>Grader</t>
        </is>
      </c>
      <c r="D23" s="26" t="n">
        <v>172994</v>
      </c>
      <c r="E23" s="41" t="inlineStr">
        <is>
          <t>5-yr note article</t>
        </is>
      </c>
      <c r="F23" s="42" t="inlineStr">
        <is>
          <t>P1</t>
        </is>
      </c>
      <c r="G23" s="43" t="n">
        <v>0</v>
      </c>
    </row>
    <row r="24">
      <c r="A24" t="inlineStr">
        <is>
          <t>Save $50,000 more a year</t>
        </is>
      </c>
      <c r="B24" s="39" t="n">
        <v>2037</v>
      </c>
      <c r="C24" t="inlineStr">
        <is>
          <t>Freightliner 6-wheeler dump</t>
        </is>
      </c>
      <c r="D24" s="26" t="n">
        <v>164456</v>
      </c>
      <c r="E24" s="41" t="inlineStr">
        <is>
          <t>5-yr note article</t>
        </is>
      </c>
      <c r="F24" s="42" t="inlineStr">
        <is>
          <t>P1</t>
        </is>
      </c>
      <c r="G24" s="43" t="n">
        <v>0</v>
      </c>
    </row>
    <row r="25">
      <c r="A25" t="inlineStr">
        <is>
          <t>Save $50,000 more a year</t>
        </is>
      </c>
      <c r="B25" s="39" t="n">
        <v>2037</v>
      </c>
      <c r="C25" t="inlineStr">
        <is>
          <t>Pickup with plow</t>
        </is>
      </c>
      <c r="D25" s="26" t="n">
        <v>68000</v>
      </c>
      <c r="E25" s="41" t="inlineStr">
        <is>
          <t>5-yr note article</t>
        </is>
      </c>
      <c r="F25" s="42" t="inlineStr">
        <is>
          <t>P1</t>
        </is>
      </c>
      <c r="G25" s="43" t="n">
        <v>0</v>
      </c>
    </row>
    <row r="26">
      <c r="A26" t="inlineStr">
        <is>
          <t>Save $50,000 more a year</t>
        </is>
      </c>
      <c r="B26" s="39" t="n">
        <v>2038</v>
      </c>
      <c r="C26" t="inlineStr">
        <is>
          <t>Kenworth dump truck</t>
        </is>
      </c>
      <c r="D26" s="26" t="n">
        <v>75488</v>
      </c>
      <c r="E26" s="41" t="inlineStr">
        <is>
          <t>5-yr note article</t>
        </is>
      </c>
      <c r="F26" s="42" t="inlineStr">
        <is>
          <t>P1</t>
        </is>
      </c>
      <c r="G26" s="43" t="n">
        <v>0</v>
      </c>
    </row>
    <row r="27">
      <c r="A27" t="inlineStr">
        <is>
          <t>Save $50,000 more a year</t>
        </is>
      </c>
      <c r="B27" s="39" t="n">
        <v>2039</v>
      </c>
      <c r="C27" t="inlineStr">
        <is>
          <t>Shady Rill section 2</t>
        </is>
      </c>
      <c r="D27" s="26" t="n">
        <v>21572</v>
      </c>
      <c r="E27" s="41" t="inlineStr">
        <is>
          <t>5-yr note article</t>
        </is>
      </c>
      <c r="F27" s="42" t="inlineStr">
        <is>
          <t>P1</t>
        </is>
      </c>
      <c r="G27" s="43" t="n">
        <v>0</v>
      </c>
    </row>
    <row r="28">
      <c r="A28" t="inlineStr">
        <is>
          <t>Save $50,000 more a year</t>
        </is>
      </c>
      <c r="B28" s="39" t="n">
        <v>2040</v>
      </c>
      <c r="C28" t="inlineStr">
        <is>
          <t>Komatsu loader</t>
        </is>
      </c>
      <c r="D28" s="26" t="n">
        <v>108196</v>
      </c>
      <c r="E28" s="41" t="inlineStr">
        <is>
          <t>5-yr note article</t>
        </is>
      </c>
      <c r="F28" s="42" t="inlineStr">
        <is>
          <t>P1</t>
        </is>
      </c>
      <c r="G28" s="43" t="n">
        <v>0</v>
      </c>
    </row>
    <row r="29">
      <c r="A29" t="inlineStr">
        <is>
          <t>Phased start from $300k (reaches $500k in FY2032)</t>
        </is>
      </c>
      <c r="B29" s="39" t="n">
        <v>2028</v>
      </c>
      <c r="C29" t="inlineStr">
        <is>
          <t>Capital program bond (Engine 1, Engine 6, Shady Rill section 1)</t>
        </is>
      </c>
      <c r="D29" s="26" t="n">
        <v>1875207</v>
      </c>
      <c r="E29" s="41" t="inlineStr">
        <is>
          <t>VMBB ballot question (&gt;5-yr)</t>
        </is>
      </c>
      <c r="F29" s="42" t="inlineStr">
        <is>
          <t>P2</t>
        </is>
      </c>
      <c r="G29" s="43" t="n">
        <v>1</v>
      </c>
    </row>
    <row r="30">
      <c r="A30" t="inlineStr">
        <is>
          <t>Phased start from $300k (reaches $500k in FY2032)</t>
        </is>
      </c>
      <c r="B30" s="39" t="n">
        <v>2028</v>
      </c>
      <c r="C30" t="inlineStr">
        <is>
          <t>Caterpillar backhoe</t>
        </is>
      </c>
      <c r="D30" s="26" t="n">
        <v>153000</v>
      </c>
      <c r="E30" s="41" t="inlineStr">
        <is>
          <t>5-yr note article</t>
        </is>
      </c>
      <c r="F30" s="42" t="inlineStr">
        <is>
          <t>P2</t>
        </is>
      </c>
      <c r="G30" s="43" t="n">
        <v>0</v>
      </c>
    </row>
    <row r="31">
      <c r="A31" t="inlineStr">
        <is>
          <t>Phased start from $300k (reaches $500k in FY2032)</t>
        </is>
      </c>
      <c r="B31" s="39" t="n">
        <v>2028</v>
      </c>
      <c r="C31" t="inlineStr">
        <is>
          <t>Komatsu loader (backlog)</t>
        </is>
      </c>
      <c r="D31" s="26" t="n">
        <v>148750</v>
      </c>
      <c r="E31" s="41" t="inlineStr">
        <is>
          <t>5-yr note article</t>
        </is>
      </c>
      <c r="F31" s="42" t="inlineStr">
        <is>
          <t>P2</t>
        </is>
      </c>
      <c r="G31" s="43" t="n">
        <v>0</v>
      </c>
    </row>
    <row r="32">
      <c r="A32" t="inlineStr">
        <is>
          <t>Phased start from $300k (reaches $500k in FY2032)</t>
        </is>
      </c>
      <c r="B32" s="39" t="n">
        <v>2029</v>
      </c>
      <c r="C32" t="inlineStr">
        <is>
          <t>Freightliner 6-wheeler dump (backlog)</t>
        </is>
      </c>
      <c r="D32" s="26" t="n">
        <v>230697</v>
      </c>
      <c r="E32" s="41" t="inlineStr">
        <is>
          <t>vendor installment article</t>
        </is>
      </c>
      <c r="F32" s="42" t="inlineStr">
        <is>
          <t>P2</t>
        </is>
      </c>
      <c r="G32" s="43" t="n">
        <v>0</v>
      </c>
    </row>
    <row r="33">
      <c r="A33" t="inlineStr">
        <is>
          <t>Phased start from $300k (reaches $500k in FY2032)</t>
        </is>
      </c>
      <c r="B33" s="39" t="n">
        <v>2029</v>
      </c>
      <c r="C33" t="inlineStr">
        <is>
          <t>Pickup with plow</t>
        </is>
      </c>
      <c r="D33" s="26" t="n">
        <v>68000</v>
      </c>
      <c r="E33" s="41" t="inlineStr">
        <is>
          <t>5-yr note article</t>
        </is>
      </c>
      <c r="F33" s="42" t="inlineStr">
        <is>
          <t>P2</t>
        </is>
      </c>
      <c r="G33" s="43" t="n">
        <v>0</v>
      </c>
    </row>
    <row r="34">
      <c r="A34" t="inlineStr">
        <is>
          <t>Phased start from $300k (reaches $500k in FY2032)</t>
        </is>
      </c>
      <c r="B34" s="39" t="n">
        <v>2030</v>
      </c>
      <c r="C34" t="inlineStr">
        <is>
          <t>Kenworth dump truck</t>
        </is>
      </c>
      <c r="D34" s="26" t="n">
        <v>97891</v>
      </c>
      <c r="E34" s="41" t="inlineStr">
        <is>
          <t>5-yr note article</t>
        </is>
      </c>
      <c r="F34" s="42" t="inlineStr">
        <is>
          <t>P2</t>
        </is>
      </c>
      <c r="G34" s="43" t="n">
        <v>0</v>
      </c>
    </row>
    <row r="35">
      <c r="A35" t="inlineStr">
        <is>
          <t>Phased start from $300k (reaches $500k in FY2032)</t>
        </is>
      </c>
      <c r="B35" s="39" t="n">
        <v>2031</v>
      </c>
      <c r="C35" t="inlineStr">
        <is>
          <t>Tanker</t>
        </is>
      </c>
      <c r="D35" s="26" t="n">
        <v>198286</v>
      </c>
      <c r="E35" s="41" t="inlineStr">
        <is>
          <t>5-yr note article</t>
        </is>
      </c>
      <c r="F35" s="42" t="inlineStr">
        <is>
          <t>P2</t>
        </is>
      </c>
      <c r="G35" s="43" t="n">
        <v>0</v>
      </c>
    </row>
    <row r="36">
      <c r="A36" t="inlineStr">
        <is>
          <t>Phased start from $300k (reaches $500k in FY2032)</t>
        </is>
      </c>
      <c r="B36" s="39" t="n">
        <v>2035</v>
      </c>
      <c r="C36" t="inlineStr">
        <is>
          <t>Capital program bond (Rescue)</t>
        </is>
      </c>
      <c r="D36" s="26" t="n">
        <v>450438</v>
      </c>
      <c r="E36" s="41" t="inlineStr">
        <is>
          <t>VMBB ballot question (&gt;5-yr)</t>
        </is>
      </c>
      <c r="F36" s="42" t="inlineStr">
        <is>
          <t>P2</t>
        </is>
      </c>
      <c r="G36" s="43" t="n">
        <v>1</v>
      </c>
    </row>
    <row r="37">
      <c r="A37" t="inlineStr">
        <is>
          <t>Phased start from $300k (reaches $500k in FY2032)</t>
        </is>
      </c>
      <c r="B37" s="39" t="n">
        <v>2035</v>
      </c>
      <c r="C37" t="inlineStr">
        <is>
          <t>International 10-wheeler dump</t>
        </is>
      </c>
      <c r="D37" s="26" t="n">
        <v>41857</v>
      </c>
      <c r="E37" s="41" t="inlineStr">
        <is>
          <t>5-yr note article</t>
        </is>
      </c>
      <c r="F37" s="42" t="inlineStr">
        <is>
          <t>P2</t>
        </is>
      </c>
      <c r="G37" s="43" t="n">
        <v>0</v>
      </c>
    </row>
    <row r="38">
      <c r="A38" t="inlineStr">
        <is>
          <t>Phased start from $300k (reaches $500k in FY2032)</t>
        </is>
      </c>
      <c r="B38" s="39" t="n">
        <v>2036</v>
      </c>
      <c r="C38" t="inlineStr">
        <is>
          <t>Grader</t>
        </is>
      </c>
      <c r="D38" s="26" t="n">
        <v>176030</v>
      </c>
      <c r="E38" s="41" t="inlineStr">
        <is>
          <t>5-yr note article</t>
        </is>
      </c>
      <c r="F38" s="42" t="inlineStr">
        <is>
          <t>P2</t>
        </is>
      </c>
      <c r="G38" s="43" t="n">
        <v>0</v>
      </c>
    </row>
    <row r="39">
      <c r="A39" t="inlineStr">
        <is>
          <t>Phased start from $300k (reaches $500k in FY2032)</t>
        </is>
      </c>
      <c r="B39" s="39" t="n">
        <v>2037</v>
      </c>
      <c r="C39" t="inlineStr">
        <is>
          <t>Freightliner 6-wheeler dump</t>
        </is>
      </c>
      <c r="D39" s="26" t="n">
        <v>166721</v>
      </c>
      <c r="E39" s="41" t="inlineStr">
        <is>
          <t>5-yr note article</t>
        </is>
      </c>
      <c r="F39" s="42" t="inlineStr">
        <is>
          <t>P2</t>
        </is>
      </c>
      <c r="G39" s="43" t="n">
        <v>0</v>
      </c>
    </row>
    <row r="40">
      <c r="A40" t="inlineStr">
        <is>
          <t>Phased start from $300k (reaches $500k in FY2032)</t>
        </is>
      </c>
      <c r="B40" s="39" t="n">
        <v>2037</v>
      </c>
      <c r="C40" t="inlineStr">
        <is>
          <t>Pickup with plow</t>
        </is>
      </c>
      <c r="D40" s="26" t="n">
        <v>68000</v>
      </c>
      <c r="E40" s="41" t="inlineStr">
        <is>
          <t>5-yr note article</t>
        </is>
      </c>
      <c r="F40" s="42" t="inlineStr">
        <is>
          <t>P2</t>
        </is>
      </c>
      <c r="G40" s="43" t="n">
        <v>0</v>
      </c>
    </row>
    <row r="41">
      <c r="A41" t="inlineStr">
        <is>
          <t>Phased start from $300k (reaches $500k in FY2032)</t>
        </is>
      </c>
      <c r="B41" s="39" t="n">
        <v>2038</v>
      </c>
      <c r="C41" t="inlineStr">
        <is>
          <t>Kenworth dump truck</t>
        </is>
      </c>
      <c r="D41" s="26" t="n">
        <v>101774</v>
      </c>
      <c r="E41" s="41" t="inlineStr">
        <is>
          <t>5-yr note article</t>
        </is>
      </c>
      <c r="F41" s="42" t="inlineStr">
        <is>
          <t>P2</t>
        </is>
      </c>
      <c r="G41" s="43" t="n">
        <v>0</v>
      </c>
    </row>
    <row r="42">
      <c r="A42" t="inlineStr">
        <is>
          <t>Phased start from $300k (reaches $500k in FY2032)</t>
        </is>
      </c>
      <c r="B42" s="39" t="n">
        <v>2040</v>
      </c>
      <c r="C42" t="inlineStr">
        <is>
          <t>Kobelco excavator</t>
        </is>
      </c>
      <c r="D42" s="26" t="n">
        <v>63652</v>
      </c>
      <c r="E42" s="41" t="inlineStr">
        <is>
          <t>5-yr note article</t>
        </is>
      </c>
      <c r="F42" s="42" t="inlineStr">
        <is>
          <t>P2</t>
        </is>
      </c>
      <c r="G42" s="43" t="n">
        <v>0</v>
      </c>
    </row>
    <row r="43">
      <c r="A43" t="inlineStr">
        <is>
          <t>Phased start from $300k (reaches $500k in FY2032)</t>
        </is>
      </c>
      <c r="B43" s="39" t="n">
        <v>2040</v>
      </c>
      <c r="C43" t="inlineStr">
        <is>
          <t>Komatsu loader</t>
        </is>
      </c>
      <c r="D43" s="26" t="n">
        <v>148750</v>
      </c>
      <c r="E43" s="41" t="inlineStr">
        <is>
          <t>5-yr note article</t>
        </is>
      </c>
      <c r="F43" s="42" t="inlineStr">
        <is>
          <t>P2</t>
        </is>
      </c>
      <c r="G43" s="43" t="n">
        <v>0</v>
      </c>
    </row>
    <row r="44">
      <c r="A44" t="inlineStr">
        <is>
          <t>Break even by 2042 ($500k/yr)</t>
        </is>
      </c>
      <c r="B44" s="39" t="n">
        <v>2028</v>
      </c>
      <c r="C44" t="inlineStr">
        <is>
          <t>Capital program bond (Engine 1, Engine 6, Shady Rill section 1, Tanker)</t>
        </is>
      </c>
      <c r="D44" s="26" t="n">
        <v>2215472</v>
      </c>
      <c r="E44" s="41" t="inlineStr">
        <is>
          <t>VMBB ballot question (&gt;5-yr)</t>
        </is>
      </c>
      <c r="F44" s="42" t="inlineStr">
        <is>
          <t>P3</t>
        </is>
      </c>
      <c r="G44" s="43" t="n">
        <v>1</v>
      </c>
    </row>
    <row r="45">
      <c r="A45" t="inlineStr">
        <is>
          <t>Break even by 2042 ($500k/yr)</t>
        </is>
      </c>
      <c r="B45" s="39" t="n">
        <v>2028</v>
      </c>
      <c r="C45" t="inlineStr">
        <is>
          <t>Komatsu loader (backlog)</t>
        </is>
      </c>
      <c r="D45" s="26" t="n">
        <v>148750</v>
      </c>
      <c r="E45" s="41" t="inlineStr">
        <is>
          <t>5-yr note article</t>
        </is>
      </c>
      <c r="F45" s="42" t="inlineStr">
        <is>
          <t>P3</t>
        </is>
      </c>
      <c r="G45" s="43" t="n">
        <v>0</v>
      </c>
    </row>
    <row r="46">
      <c r="A46" t="inlineStr">
        <is>
          <t>Break even by 2042 ($500k/yr)</t>
        </is>
      </c>
      <c r="B46" s="39" t="n">
        <v>2029</v>
      </c>
      <c r="C46" t="inlineStr">
        <is>
          <t>Freightliner 6-wheeler dump (backlog)</t>
        </is>
      </c>
      <c r="D46" s="26" t="n">
        <v>155265</v>
      </c>
      <c r="E46" s="41" t="inlineStr">
        <is>
          <t>5-yr note article</t>
        </is>
      </c>
      <c r="F46" s="42" t="inlineStr">
        <is>
          <t>P3</t>
        </is>
      </c>
      <c r="G46" s="43" t="n">
        <v>0</v>
      </c>
    </row>
    <row r="47">
      <c r="A47" t="inlineStr">
        <is>
          <t>Break even by 2042 ($500k/yr)</t>
        </is>
      </c>
      <c r="B47" s="39" t="n">
        <v>2029</v>
      </c>
      <c r="C47" t="inlineStr">
        <is>
          <t>Pickup with plow</t>
        </is>
      </c>
      <c r="D47" s="26" t="n">
        <v>68000</v>
      </c>
      <c r="E47" s="41" t="inlineStr">
        <is>
          <t>5-yr note article</t>
        </is>
      </c>
      <c r="F47" s="42" t="inlineStr">
        <is>
          <t>P3</t>
        </is>
      </c>
      <c r="G47" s="43" t="n">
        <v>0</v>
      </c>
    </row>
    <row r="48">
      <c r="A48" t="inlineStr">
        <is>
          <t>Break even by 2042 ($500k/yr)</t>
        </is>
      </c>
      <c r="B48" s="39" t="n">
        <v>2030</v>
      </c>
      <c r="C48" t="inlineStr">
        <is>
          <t>Kenworth dump truck</t>
        </is>
      </c>
      <c r="D48" s="26" t="n">
        <v>140646</v>
      </c>
      <c r="E48" s="41" t="inlineStr">
        <is>
          <t>5-yr note article</t>
        </is>
      </c>
      <c r="F48" s="42" t="inlineStr">
        <is>
          <t>P3</t>
        </is>
      </c>
      <c r="G48" s="43" t="n">
        <v>0</v>
      </c>
    </row>
    <row r="49">
      <c r="A49" t="inlineStr">
        <is>
          <t>Break even by 2042 ($500k/yr)</t>
        </is>
      </c>
      <c r="B49" s="39" t="n">
        <v>2035</v>
      </c>
      <c r="C49" t="inlineStr">
        <is>
          <t>Capital program bond (Rescue)</t>
        </is>
      </c>
      <c r="D49" s="26" t="n">
        <v>373139</v>
      </c>
      <c r="E49" s="41" t="inlineStr">
        <is>
          <t>VMBB ballot question (&gt;5-yr)</t>
        </is>
      </c>
      <c r="F49" s="42" t="inlineStr">
        <is>
          <t>P3</t>
        </is>
      </c>
      <c r="G49" s="43" t="n">
        <v>1</v>
      </c>
    </row>
    <row r="50">
      <c r="A50" t="inlineStr">
        <is>
          <t>Break even by 2042 ($500k/yr)</t>
        </is>
      </c>
      <c r="B50" s="39" t="n">
        <v>2036</v>
      </c>
      <c r="C50" t="inlineStr">
        <is>
          <t>Grader</t>
        </is>
      </c>
      <c r="D50" s="26" t="n">
        <v>141960</v>
      </c>
      <c r="E50" s="41" t="inlineStr">
        <is>
          <t>5-yr note article</t>
        </is>
      </c>
      <c r="F50" s="42" t="inlineStr">
        <is>
          <t>P3</t>
        </is>
      </c>
      <c r="G50" s="43" t="n">
        <v>0</v>
      </c>
    </row>
    <row r="51">
      <c r="A51" t="inlineStr">
        <is>
          <t>Break even by 2042 ($500k/yr)</t>
        </is>
      </c>
      <c r="B51" s="39" t="n">
        <v>2037</v>
      </c>
      <c r="C51" t="inlineStr">
        <is>
          <t>Freightliner 6-wheeler dump</t>
        </is>
      </c>
      <c r="D51" s="26" t="n">
        <v>174833</v>
      </c>
      <c r="E51" s="41" t="inlineStr">
        <is>
          <t>5-yr note article</t>
        </is>
      </c>
      <c r="F51" s="42" t="inlineStr">
        <is>
          <t>P3</t>
        </is>
      </c>
      <c r="G51" s="43" t="n">
        <v>0</v>
      </c>
    </row>
    <row r="52">
      <c r="A52" t="inlineStr">
        <is>
          <t>Break even by 2042 ($500k/yr)</t>
        </is>
      </c>
      <c r="B52" s="39" t="n">
        <v>2037</v>
      </c>
      <c r="C52" t="inlineStr">
        <is>
          <t>Pickup with plow</t>
        </is>
      </c>
      <c r="D52" s="26" t="n">
        <v>68000</v>
      </c>
      <c r="E52" s="41" t="inlineStr">
        <is>
          <t>5-yr note article</t>
        </is>
      </c>
      <c r="F52" s="42" t="inlineStr">
        <is>
          <t>P3</t>
        </is>
      </c>
      <c r="G52" s="43" t="n">
        <v>0</v>
      </c>
    </row>
    <row r="53">
      <c r="A53" t="inlineStr">
        <is>
          <t>Break even by 2042 ($500k/yr)</t>
        </is>
      </c>
      <c r="B53" s="39" t="n">
        <v>2038</v>
      </c>
      <c r="C53" t="inlineStr">
        <is>
          <t>Kenworth dump truck</t>
        </is>
      </c>
      <c r="D53" s="26" t="n">
        <v>112749</v>
      </c>
      <c r="E53" s="41" t="inlineStr">
        <is>
          <t>5-yr note article</t>
        </is>
      </c>
      <c r="F53" s="42" t="inlineStr">
        <is>
          <t>P3</t>
        </is>
      </c>
      <c r="G53" s="43" t="n">
        <v>0</v>
      </c>
    </row>
    <row r="54">
      <c r="A54" t="inlineStr">
        <is>
          <t>Break even by 2042 ($500k/yr)</t>
        </is>
      </c>
      <c r="B54" s="39" t="n">
        <v>2040</v>
      </c>
      <c r="C54" t="inlineStr">
        <is>
          <t>Kobelco excavator</t>
        </is>
      </c>
      <c r="D54" s="26" t="n">
        <v>94754</v>
      </c>
      <c r="E54" s="41" t="inlineStr">
        <is>
          <t>5-yr note article</t>
        </is>
      </c>
      <c r="F54" s="42" t="inlineStr">
        <is>
          <t>P3</t>
        </is>
      </c>
      <c r="G54" s="43" t="n">
        <v>0</v>
      </c>
    </row>
    <row r="55">
      <c r="A55" t="inlineStr">
        <is>
          <t>Break even by 2042 ($500k/yr)</t>
        </is>
      </c>
      <c r="B55" s="39" t="n">
        <v>2040</v>
      </c>
      <c r="C55" t="inlineStr">
        <is>
          <t>Komatsu loader</t>
        </is>
      </c>
      <c r="D55" s="26" t="n">
        <v>148750</v>
      </c>
      <c r="E55" s="41" t="inlineStr">
        <is>
          <t>5-yr note article</t>
        </is>
      </c>
      <c r="F55" s="42" t="inlineStr">
        <is>
          <t>P3</t>
        </is>
      </c>
      <c r="G55" s="43" t="n">
        <v>0</v>
      </c>
    </row>
    <row r="56">
      <c r="A56" t="inlineStr">
        <is>
          <t>Step up to $530k/yr (by FY2030)</t>
        </is>
      </c>
      <c r="B56" s="39" t="n">
        <v>2028</v>
      </c>
      <c r="C56" t="inlineStr">
        <is>
          <t>Capital program bond (Engine 1, Engine 6, Shady Rill section 1, Tanker)</t>
        </is>
      </c>
      <c r="D56" s="26" t="n">
        <v>2203838</v>
      </c>
      <c r="E56" s="41" t="inlineStr">
        <is>
          <t>VMBB ballot question (&gt;5-yr)</t>
        </is>
      </c>
      <c r="F56" s="42" t="inlineStr">
        <is>
          <t>P5</t>
        </is>
      </c>
      <c r="G56" s="43" t="n">
        <v>1</v>
      </c>
    </row>
    <row r="57">
      <c r="A57" t="inlineStr">
        <is>
          <t>Step up to $530k/yr (by FY2030)</t>
        </is>
      </c>
      <c r="B57" s="39" t="n">
        <v>2028</v>
      </c>
      <c r="C57" t="inlineStr">
        <is>
          <t>Caterpillar backhoe</t>
        </is>
      </c>
      <c r="D57" s="26" t="n">
        <v>43263</v>
      </c>
      <c r="E57" s="41" t="inlineStr">
        <is>
          <t>5-yr note article</t>
        </is>
      </c>
      <c r="F57" s="42" t="inlineStr">
        <is>
          <t>P5</t>
        </is>
      </c>
      <c r="G57" s="43" t="n">
        <v>0</v>
      </c>
    </row>
    <row r="58">
      <c r="A58" t="inlineStr">
        <is>
          <t>Step up to $530k/yr (by FY2030)</t>
        </is>
      </c>
      <c r="B58" s="39" t="n">
        <v>2028</v>
      </c>
      <c r="C58" t="inlineStr">
        <is>
          <t>Komatsu loader (backlog)</t>
        </is>
      </c>
      <c r="D58" s="26" t="n">
        <v>148750</v>
      </c>
      <c r="E58" s="41" t="inlineStr">
        <is>
          <t>5-yr note article</t>
        </is>
      </c>
      <c r="F58" s="42" t="inlineStr">
        <is>
          <t>P5</t>
        </is>
      </c>
      <c r="G58" s="43" t="n">
        <v>0</v>
      </c>
    </row>
    <row r="59">
      <c r="A59" t="inlineStr">
        <is>
          <t>Step up to $530k/yr (by FY2030)</t>
        </is>
      </c>
      <c r="B59" s="39" t="n">
        <v>2029</v>
      </c>
      <c r="C59" t="inlineStr">
        <is>
          <t>Freightliner 6-wheeler dump (backlog)</t>
        </is>
      </c>
      <c r="D59" s="26" t="n">
        <v>170593</v>
      </c>
      <c r="E59" s="41" t="inlineStr">
        <is>
          <t>5-yr note article</t>
        </is>
      </c>
      <c r="F59" s="42" t="inlineStr">
        <is>
          <t>P5</t>
        </is>
      </c>
      <c r="G59" s="43" t="n">
        <v>0</v>
      </c>
    </row>
    <row r="60">
      <c r="A60" t="inlineStr">
        <is>
          <t>Step up to $530k/yr (by FY2030)</t>
        </is>
      </c>
      <c r="B60" s="39" t="n">
        <v>2029</v>
      </c>
      <c r="C60" t="inlineStr">
        <is>
          <t>Pickup with plow</t>
        </is>
      </c>
      <c r="D60" s="26" t="n">
        <v>68000</v>
      </c>
      <c r="E60" s="41" t="inlineStr">
        <is>
          <t>5-yr note article</t>
        </is>
      </c>
      <c r="F60" s="42" t="inlineStr">
        <is>
          <t>P5</t>
        </is>
      </c>
      <c r="G60" s="43" t="n">
        <v>0</v>
      </c>
    </row>
    <row r="61">
      <c r="A61" t="inlineStr">
        <is>
          <t>Step up to $530k/yr (by FY2030)</t>
        </is>
      </c>
      <c r="B61" s="39" t="n">
        <v>2030</v>
      </c>
      <c r="C61" t="inlineStr">
        <is>
          <t>Kenworth dump truck</t>
        </is>
      </c>
      <c r="D61" s="26" t="n">
        <v>122939</v>
      </c>
      <c r="E61" s="41" t="inlineStr">
        <is>
          <t>5-yr note article</t>
        </is>
      </c>
      <c r="F61" s="42" t="inlineStr">
        <is>
          <t>P5</t>
        </is>
      </c>
      <c r="G61" s="43" t="n">
        <v>0</v>
      </c>
    </row>
    <row r="62">
      <c r="A62" t="inlineStr">
        <is>
          <t>Step up to $530k/yr (by FY2030)</t>
        </is>
      </c>
      <c r="B62" s="39" t="n">
        <v>2035</v>
      </c>
      <c r="C62" t="inlineStr">
        <is>
          <t>Capital program bond (Rescue)</t>
        </is>
      </c>
      <c r="D62" s="26" t="n">
        <v>264035</v>
      </c>
      <c r="E62" s="41" t="inlineStr">
        <is>
          <t>VMBB ballot question (&gt;5-yr)</t>
        </is>
      </c>
      <c r="F62" s="42" t="inlineStr">
        <is>
          <t>P5</t>
        </is>
      </c>
      <c r="G62" s="43" t="n">
        <v>1</v>
      </c>
    </row>
    <row r="63">
      <c r="A63" t="inlineStr">
        <is>
          <t>Step up to $530k/yr (by FY2030)</t>
        </is>
      </c>
      <c r="B63" s="39" t="n">
        <v>2036</v>
      </c>
      <c r="C63" t="inlineStr">
        <is>
          <t>Grader</t>
        </is>
      </c>
      <c r="D63" s="26" t="n">
        <v>96497</v>
      </c>
      <c r="E63" s="41" t="inlineStr">
        <is>
          <t>5-yr note article</t>
        </is>
      </c>
      <c r="F63" s="42" t="inlineStr">
        <is>
          <t>P5</t>
        </is>
      </c>
      <c r="G63" s="43" t="n">
        <v>0</v>
      </c>
    </row>
    <row r="64">
      <c r="A64" t="inlineStr">
        <is>
          <t>Step up to $530k/yr (by FY2030)</t>
        </is>
      </c>
      <c r="B64" s="39" t="n">
        <v>2037</v>
      </c>
      <c r="C64" t="inlineStr">
        <is>
          <t>Freightliner 6-wheeler dump</t>
        </is>
      </c>
      <c r="D64" s="26" t="n">
        <v>143663</v>
      </c>
      <c r="E64" s="41" t="inlineStr">
        <is>
          <t>5-yr note article</t>
        </is>
      </c>
      <c r="F64" s="42" t="inlineStr">
        <is>
          <t>P5</t>
        </is>
      </c>
      <c r="G64" s="43" t="n">
        <v>0</v>
      </c>
    </row>
    <row r="65">
      <c r="A65" t="inlineStr">
        <is>
          <t>Step up to $530k/yr (by FY2030)</t>
        </is>
      </c>
      <c r="B65" s="39" t="n">
        <v>2037</v>
      </c>
      <c r="C65" t="inlineStr">
        <is>
          <t>Pickup with plow</t>
        </is>
      </c>
      <c r="D65" s="26" t="n">
        <v>68000</v>
      </c>
      <c r="E65" s="41" t="inlineStr">
        <is>
          <t>5-yr note article</t>
        </is>
      </c>
      <c r="F65" s="42" t="inlineStr">
        <is>
          <t>P5</t>
        </is>
      </c>
      <c r="G65" s="43" t="n">
        <v>0</v>
      </c>
    </row>
    <row r="66">
      <c r="A66" t="inlineStr">
        <is>
          <t>Step up to $530k/yr (by FY2030)</t>
        </is>
      </c>
      <c r="B66" s="39" t="n">
        <v>2038</v>
      </c>
      <c r="C66" t="inlineStr">
        <is>
          <t>Kenworth dump truck</t>
        </is>
      </c>
      <c r="D66" s="26" t="n">
        <v>70820</v>
      </c>
      <c r="E66" s="41" t="inlineStr">
        <is>
          <t>5-yr note article</t>
        </is>
      </c>
      <c r="F66" s="42" t="inlineStr">
        <is>
          <t>P5</t>
        </is>
      </c>
      <c r="G66" s="43" t="n">
        <v>0</v>
      </c>
    </row>
    <row r="67">
      <c r="A67" t="inlineStr">
        <is>
          <t>Step up to $530k/yr (by FY2030)</t>
        </is>
      </c>
      <c r="B67" s="39" t="n">
        <v>2040</v>
      </c>
      <c r="C67" t="inlineStr">
        <is>
          <t>Komatsu loader</t>
        </is>
      </c>
      <c r="D67" s="26" t="n">
        <v>126160</v>
      </c>
      <c r="E67" s="41" t="inlineStr">
        <is>
          <t>5-yr note article</t>
        </is>
      </c>
      <c r="F67" s="42" t="inlineStr">
        <is>
          <t>P5</t>
        </is>
      </c>
      <c r="G67" s="43" t="n">
        <v>0</v>
      </c>
    </row>
    <row r="68">
      <c r="A68" t="inlineStr">
        <is>
          <t>Full pre-funding ($565k/yr)</t>
        </is>
      </c>
      <c r="B68" s="39" t="n">
        <v>2028</v>
      </c>
      <c r="C68" t="inlineStr">
        <is>
          <t>Capital program bond (Engine 1, Engine 6, Tanker)</t>
        </is>
      </c>
      <c r="D68" s="26" t="n">
        <v>1779484</v>
      </c>
      <c r="E68" s="41" t="inlineStr">
        <is>
          <t>VMBB ballot question (&gt;5-yr)</t>
        </is>
      </c>
      <c r="F68" s="42" t="inlineStr">
        <is>
          <t>P4</t>
        </is>
      </c>
      <c r="G68" s="43" t="n">
        <v>1</v>
      </c>
    </row>
    <row r="69">
      <c r="A69" t="inlineStr">
        <is>
          <t>Full pre-funding ($565k/yr)</t>
        </is>
      </c>
      <c r="B69" s="39" t="n">
        <v>2028</v>
      </c>
      <c r="C69" t="inlineStr">
        <is>
          <t>International 10-wheeler dump (backlog)</t>
        </is>
      </c>
      <c r="D69" s="26" t="n">
        <v>161692</v>
      </c>
      <c r="E69" s="41" t="inlineStr">
        <is>
          <t>5-yr note article</t>
        </is>
      </c>
      <c r="F69" s="42" t="inlineStr">
        <is>
          <t>P4</t>
        </is>
      </c>
      <c r="G69" s="43" t="n">
        <v>0</v>
      </c>
    </row>
    <row r="70">
      <c r="A70" t="inlineStr">
        <is>
          <t>Full pre-funding ($565k/yr)</t>
        </is>
      </c>
      <c r="B70" s="39" t="n">
        <v>2028</v>
      </c>
      <c r="C70" t="inlineStr">
        <is>
          <t>Caterpillar backhoe</t>
        </is>
      </c>
      <c r="D70" s="26" t="n">
        <v>153000</v>
      </c>
      <c r="E70" s="41" t="inlineStr">
        <is>
          <t>5-yr note article</t>
        </is>
      </c>
      <c r="F70" s="42" t="inlineStr">
        <is>
          <t>P4</t>
        </is>
      </c>
      <c r="G70" s="43" t="n">
        <v>0</v>
      </c>
    </row>
    <row r="71">
      <c r="A71" t="inlineStr">
        <is>
          <t>Full pre-funding ($565k/yr)</t>
        </is>
      </c>
      <c r="B71" s="39" t="n">
        <v>2028</v>
      </c>
      <c r="C71" t="inlineStr">
        <is>
          <t>Komatsu loader (backlog)</t>
        </is>
      </c>
      <c r="D71" s="26" t="n">
        <v>148750</v>
      </c>
      <c r="E71" s="41" t="inlineStr">
        <is>
          <t>5-yr note article</t>
        </is>
      </c>
      <c r="F71" s="42" t="inlineStr">
        <is>
          <t>P4</t>
        </is>
      </c>
      <c r="G71" s="43" t="n">
        <v>0</v>
      </c>
    </row>
    <row r="72">
      <c r="A72" t="inlineStr">
        <is>
          <t>Full pre-funding ($565k/yr)</t>
        </is>
      </c>
      <c r="B72" s="39" t="n">
        <v>2029</v>
      </c>
      <c r="C72" t="inlineStr">
        <is>
          <t>Freightliner 6-wheeler dump (backlog)</t>
        </is>
      </c>
      <c r="D72" s="26" t="n">
        <v>113070</v>
      </c>
      <c r="E72" s="41" t="inlineStr">
        <is>
          <t>5-yr note article</t>
        </is>
      </c>
      <c r="F72" s="42" t="inlineStr">
        <is>
          <t>P4</t>
        </is>
      </c>
      <c r="G72" s="43" t="n">
        <v>0</v>
      </c>
    </row>
    <row r="73">
      <c r="A73" t="inlineStr">
        <is>
          <t>Full pre-funding ($565k/yr)</t>
        </is>
      </c>
      <c r="B73" s="39" t="n">
        <v>2029</v>
      </c>
      <c r="C73" t="inlineStr">
        <is>
          <t>Pickup with plow</t>
        </is>
      </c>
      <c r="D73" s="26" t="n">
        <v>68000</v>
      </c>
      <c r="E73" s="41" t="inlineStr">
        <is>
          <t>5-yr note article</t>
        </is>
      </c>
      <c r="F73" s="42" t="inlineStr">
        <is>
          <t>P4</t>
        </is>
      </c>
      <c r="G73" s="43" t="n">
        <v>0</v>
      </c>
    </row>
    <row r="74">
      <c r="A74" t="inlineStr">
        <is>
          <t>Full pre-funding ($565k/yr)</t>
        </is>
      </c>
      <c r="B74" s="39" t="n">
        <v>2030</v>
      </c>
      <c r="C74" t="inlineStr">
        <is>
          <t>Kenworth dump truck</t>
        </is>
      </c>
      <c r="D74" s="26" t="n">
        <v>92131</v>
      </c>
      <c r="E74" s="41" t="inlineStr">
        <is>
          <t>5-yr note article</t>
        </is>
      </c>
      <c r="F74" s="42" t="inlineStr">
        <is>
          <t>P4</t>
        </is>
      </c>
      <c r="G74" s="43" t="n">
        <v>0</v>
      </c>
    </row>
    <row r="76">
      <c r="A76" s="4" t="inlineStr">
        <is>
          <t>Apparatus orders (price locks at contract, ~3 years before delivery)</t>
        </is>
      </c>
    </row>
    <row r="77">
      <c r="A77" s="14" t="inlineStr">
        <is>
          <t>Item</t>
        </is>
      </c>
      <c r="B77" s="14" t="inlineStr">
        <is>
          <t>Order FY</t>
        </is>
      </c>
      <c r="C77" s="14" t="inlineStr">
        <is>
          <t>Delivery FY</t>
        </is>
      </c>
      <c r="D77" s="14" t="inlineStr">
        <is>
          <t>Sheet price</t>
        </is>
      </c>
      <c r="E77" s="14" t="inlineStr">
        <is>
          <t>Locked price</t>
        </is>
      </c>
    </row>
    <row r="78">
      <c r="A78" t="inlineStr">
        <is>
          <t>Engine 6 (ordered pre-window)</t>
        </is>
      </c>
      <c r="B78" s="44" t="n">
        <v>2027</v>
      </c>
      <c r="C78" s="45" t="n">
        <v>2030</v>
      </c>
      <c r="D78" s="10" t="n">
        <v>500000</v>
      </c>
      <c r="E78" s="21">
        <f>ROUND(D78*POWER(1+Inputs!$B$7,B78-Inputs!$B$8),0)</f>
        <v>655398</v>
      </c>
    </row>
    <row r="79">
      <c r="A79" t="inlineStr">
        <is>
          <t>Engine 1</t>
        </is>
      </c>
      <c r="B79" s="44" t="n">
        <v>2030</v>
      </c>
      <c r="C79" s="45" t="n">
        <v>2033</v>
      </c>
      <c r="D79" s="10" t="n">
        <v>500000</v>
      </c>
      <c r="E79" s="21">
        <f>ROUND(D79*POWER(1+Inputs!$B$7,B79-Inputs!$B$8),0)</f>
        <v>802891</v>
      </c>
    </row>
    <row r="80">
      <c r="A80" t="inlineStr">
        <is>
          <t>Tanker</t>
        </is>
      </c>
      <c r="B80" s="44" t="n">
        <v>2031</v>
      </c>
      <c r="C80" s="45" t="n">
        <v>2034</v>
      </c>
      <c r="D80" s="10" t="n">
        <v>250000</v>
      </c>
      <c r="E80" s="21">
        <f>ROUND(D80*POWER(1+Inputs!$B$7,B80-Inputs!$B$8),0)</f>
        <v>429547</v>
      </c>
    </row>
    <row r="81">
      <c r="A81" t="inlineStr">
        <is>
          <t>Rescue</t>
        </is>
      </c>
      <c r="B81" s="44" t="n">
        <v>2035</v>
      </c>
      <c r="C81" s="45" t="n">
        <v>2038</v>
      </c>
      <c r="D81" s="10" t="n">
        <v>200000</v>
      </c>
      <c r="E81" s="21">
        <f>ROUND(D81*POWER(1+Inputs!$B$7,B81-Inputs!$B$8),0)</f>
        <v>450438</v>
      </c>
    </row>
    <row r="82">
      <c r="A82" s="6" t="inlineStr">
        <is>
          <t>Locked price is a live formula: sheet price escalated from the vintage year to the order year at the Inputs escalation rate. Financed amounts above (bonds, notes, and installments) are engine outputs — each is the purchase price net of the simulated fund draw.</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13.xml><?xml version="1.0" encoding="utf-8"?>
<worksheet xmlns="http://schemas.openxmlformats.org/spreadsheetml/2006/main">
  <sheetPr>
    <tabColor rgb="FF6B7280"/>
    <outlinePr summaryBelow="1" summaryRight="1"/>
    <pageSetUpPr fitToPage="1"/>
  </sheetPr>
  <dimension ref="A1:H51"/>
  <sheetViews>
    <sheetView workbookViewId="0">
      <pane ySplit="1" topLeftCell="A2" activePane="bottomLeft" state="frozen"/>
      <selection pane="bottomLeft" activeCell="A1" sqref="A1"/>
    </sheetView>
  </sheetViews>
  <sheetFormatPr baseColWidth="8" defaultRowHeight="15"/>
  <cols>
    <col width="12" customWidth="1" min="1" max="1"/>
    <col width="40" customWidth="1" min="2" max="2"/>
    <col width="22" customWidth="1" min="3" max="3"/>
    <col width="11" customWidth="1" min="4" max="4"/>
    <col width="14" customWidth="1" min="5" max="5"/>
    <col width="14" customWidth="1" min="6" max="6"/>
    <col width="13" customWidth="1" min="7" max="7"/>
    <col width="15" customWidth="1" min="8" max="8"/>
  </cols>
  <sheetData>
    <row r="1">
      <c r="A1" s="14" t="inlineStr">
        <is>
          <t>Event FY</t>
        </is>
      </c>
      <c r="B1" s="14" t="inlineStr">
        <is>
          <t>Item</t>
        </is>
      </c>
      <c r="C1" s="14" t="inlineStr">
        <is>
          <t>Category</t>
        </is>
      </c>
      <c r="D1" s="14" t="inlineStr">
        <is>
          <t>Order FY</t>
        </is>
      </c>
      <c r="E1" s="14" t="inlineStr">
        <is>
          <t>Sheet price</t>
        </is>
      </c>
      <c r="F1" s="14" t="inlineStr">
        <is>
          <t>Market price</t>
        </is>
      </c>
      <c r="G1" s="14" t="inlineStr">
        <is>
          <t>Grant offset</t>
        </is>
      </c>
      <c r="H1" s="14" t="inlineStr">
        <is>
          <t>Net local share</t>
        </is>
      </c>
    </row>
    <row r="2">
      <c r="A2" s="39" t="n">
        <v>2028</v>
      </c>
      <c r="B2" t="inlineStr">
        <is>
          <t>Shady Rill section 1</t>
        </is>
      </c>
      <c r="C2" s="41" t="inlineStr">
        <is>
          <t>Paving</t>
        </is>
      </c>
      <c r="E2" s="10" t="n">
        <v>652333</v>
      </c>
      <c r="F2" s="21">
        <f>E2</f>
        <v>652333</v>
      </c>
      <c r="G2" s="21">
        <f>MIN(Inputs!$B$9,ROUND(Inputs!$B$13*F2,0))</f>
        <v>175000</v>
      </c>
      <c r="H2" s="21">
        <f>F2-IF(G2="",0,G2)</f>
        <v>477333</v>
      </c>
    </row>
    <row r="3">
      <c r="A3" s="39" t="n">
        <v>2028</v>
      </c>
      <c r="B3" t="inlineStr">
        <is>
          <t>International 10-wheeler dump (backlog)</t>
        </is>
      </c>
      <c r="C3" s="41" t="inlineStr">
        <is>
          <t>Public Works Vehicles</t>
        </is>
      </c>
      <c r="E3" s="10" t="n">
        <v>246500</v>
      </c>
      <c r="F3" s="21">
        <f>E3</f>
        <v>246500</v>
      </c>
      <c r="H3" s="21">
        <f>F3-IF(G3="",0,G3)</f>
        <v>246500</v>
      </c>
    </row>
    <row r="4">
      <c r="A4" s="39" t="n">
        <v>2028</v>
      </c>
      <c r="B4" t="inlineStr">
        <is>
          <t>Caterpillar backhoe</t>
        </is>
      </c>
      <c r="C4" s="41" t="inlineStr">
        <is>
          <t>Public Works Vehicles</t>
        </is>
      </c>
      <c r="E4" s="10" t="n">
        <v>153000</v>
      </c>
      <c r="F4" s="21">
        <f>E4</f>
        <v>153000</v>
      </c>
      <c r="H4" s="21">
        <f>F4-IF(G4="",0,G4)</f>
        <v>153000</v>
      </c>
    </row>
    <row r="5">
      <c r="A5" s="39" t="n">
        <v>2028</v>
      </c>
      <c r="B5" t="inlineStr">
        <is>
          <t>Komatsu loader (backlog)</t>
        </is>
      </c>
      <c r="C5" s="41" t="inlineStr">
        <is>
          <t>Public Works Vehicles</t>
        </is>
      </c>
      <c r="E5" s="10" t="n">
        <v>148750</v>
      </c>
      <c r="F5" s="21">
        <f>E5</f>
        <v>148750</v>
      </c>
      <c r="H5" s="21">
        <f>F5-IF(G5="",0,G5)</f>
        <v>148750</v>
      </c>
    </row>
    <row r="6">
      <c r="A6" s="39" t="n">
        <v>2028</v>
      </c>
      <c r="B6" t="inlineStr">
        <is>
          <t>Routine paving</t>
        </is>
      </c>
      <c r="C6" s="41" t="inlineStr">
        <is>
          <t>Paving</t>
        </is>
      </c>
      <c r="E6" s="10" t="n">
        <v>30000</v>
      </c>
      <c r="F6" s="21">
        <f>E6</f>
        <v>30000</v>
      </c>
      <c r="H6" s="21">
        <f>F6-IF(G6="",0,G6)</f>
        <v>30000</v>
      </c>
    </row>
    <row r="7">
      <c r="A7" s="39" t="n">
        <v>2028</v>
      </c>
      <c r="B7" t="inlineStr">
        <is>
          <t>Overhead doors (3) (backlog)</t>
        </is>
      </c>
      <c r="C7" s="41" t="inlineStr">
        <is>
          <t>Town Shed</t>
        </is>
      </c>
      <c r="E7" s="10" t="n">
        <v>11000</v>
      </c>
      <c r="F7" s="21">
        <f>E7</f>
        <v>11000</v>
      </c>
      <c r="H7" s="21">
        <f>F7-IF(G7="",0,G7)</f>
        <v>11000</v>
      </c>
    </row>
    <row r="8">
      <c r="A8" s="39" t="n">
        <v>2028</v>
      </c>
      <c r="B8" t="inlineStr">
        <is>
          <t>Engine 6</t>
        </is>
      </c>
      <c r="C8" s="41" t="inlineStr">
        <is>
          <t>Fire Dept Vehicles</t>
        </is>
      </c>
      <c r="D8" s="45">
        <f>'Ballots &amp; Orders'!B78</f>
        <v>2027</v>
      </c>
      <c r="E8" s="21">
        <f>'Ballots &amp; Orders'!D78</f>
        <v>500000</v>
      </c>
      <c r="F8" s="21">
        <f>ROUND(E8*POWER(1+Inputs!$B$7,D8-Inputs!$B$8),0)</f>
        <v>655398</v>
      </c>
      <c r="H8" s="21">
        <f>F8-IF(G8="",0,G8)</f>
        <v>655398</v>
      </c>
    </row>
    <row r="9">
      <c r="A9" s="39" t="n">
        <v>2029</v>
      </c>
      <c r="B9" t="inlineStr">
        <is>
          <t>Freightliner 6-wheeler dump (backlog)</t>
        </is>
      </c>
      <c r="C9" s="41" t="inlineStr">
        <is>
          <t>Public Works Vehicles</t>
        </is>
      </c>
      <c r="E9" s="10" t="n">
        <v>238000</v>
      </c>
      <c r="F9" s="21">
        <f>E9</f>
        <v>238000</v>
      </c>
      <c r="H9" s="21">
        <f>F9-IF(G9="",0,G9)</f>
        <v>238000</v>
      </c>
    </row>
    <row r="10">
      <c r="A10" s="39" t="n">
        <v>2029</v>
      </c>
      <c r="B10" t="inlineStr">
        <is>
          <t>Pickup with plow</t>
        </is>
      </c>
      <c r="C10" s="41" t="inlineStr">
        <is>
          <t>Public Works Vehicles</t>
        </is>
      </c>
      <c r="E10" s="10" t="n">
        <v>68000</v>
      </c>
      <c r="F10" s="21">
        <f>E10</f>
        <v>68000</v>
      </c>
      <c r="H10" s="21">
        <f>F10-IF(G10="",0,G10)</f>
        <v>68000</v>
      </c>
    </row>
    <row r="11">
      <c r="A11" s="39" t="n">
        <v>2029</v>
      </c>
      <c r="B11" t="inlineStr">
        <is>
          <t>Routine paving</t>
        </is>
      </c>
      <c r="C11" s="41" t="inlineStr">
        <is>
          <t>Paving</t>
        </is>
      </c>
      <c r="E11" s="10" t="n">
        <v>30000</v>
      </c>
      <c r="F11" s="21">
        <f>E11</f>
        <v>30000</v>
      </c>
      <c r="H11" s="21">
        <f>F11-IF(G11="",0,G11)</f>
        <v>30000</v>
      </c>
    </row>
    <row r="12">
      <c r="A12" s="39" t="n">
        <v>2029</v>
      </c>
      <c r="B12" t="inlineStr">
        <is>
          <t>Server (mechanical)</t>
        </is>
      </c>
      <c r="C12" s="41" t="inlineStr">
        <is>
          <t>Town Hall</t>
        </is>
      </c>
      <c r="E12" s="10" t="n">
        <v>20000</v>
      </c>
      <c r="F12" s="21">
        <f>E12</f>
        <v>20000</v>
      </c>
      <c r="H12" s="21">
        <f>F12-IF(G12="",0,G12)</f>
        <v>20000</v>
      </c>
    </row>
    <row r="13">
      <c r="A13" s="39" t="n">
        <v>2029</v>
      </c>
      <c r="B13" t="inlineStr">
        <is>
          <t>Overhead doors</t>
        </is>
      </c>
      <c r="C13" s="41" t="inlineStr">
        <is>
          <t>Fire Station</t>
        </is>
      </c>
      <c r="E13" s="10" t="n">
        <v>11000</v>
      </c>
      <c r="F13" s="21">
        <f>E13</f>
        <v>11000</v>
      </c>
      <c r="H13" s="21">
        <f>F13-IF(G13="",0,G13)</f>
        <v>11000</v>
      </c>
    </row>
    <row r="14">
      <c r="A14" s="39" t="n">
        <v>2030</v>
      </c>
      <c r="B14" t="inlineStr">
        <is>
          <t>Kenworth dump truck</t>
        </is>
      </c>
      <c r="C14" s="41" t="inlineStr">
        <is>
          <t>Public Works Vehicles</t>
        </is>
      </c>
      <c r="E14" s="10" t="n">
        <v>178500</v>
      </c>
      <c r="F14" s="21">
        <f>E14</f>
        <v>178500</v>
      </c>
      <c r="H14" s="21">
        <f>F14-IF(G14="",0,G14)</f>
        <v>178500</v>
      </c>
    </row>
    <row r="15">
      <c r="A15" s="39" t="n">
        <v>2030</v>
      </c>
      <c r="B15" t="inlineStr">
        <is>
          <t>Routine paving</t>
        </is>
      </c>
      <c r="C15" s="41" t="inlineStr">
        <is>
          <t>Paving</t>
        </is>
      </c>
      <c r="E15" s="10" t="n">
        <v>30000</v>
      </c>
      <c r="F15" s="21">
        <f>E15</f>
        <v>30000</v>
      </c>
      <c r="H15" s="21">
        <f>F15-IF(G15="",0,G15)</f>
        <v>30000</v>
      </c>
    </row>
    <row r="16">
      <c r="A16" s="39" t="n">
        <v>2030</v>
      </c>
      <c r="B16" t="inlineStr">
        <is>
          <t>Exterior windows</t>
        </is>
      </c>
      <c r="C16" s="41" t="inlineStr">
        <is>
          <t>Town Hall</t>
        </is>
      </c>
      <c r="E16" s="10" t="n">
        <v>25000</v>
      </c>
      <c r="F16" s="21">
        <f>E16</f>
        <v>25000</v>
      </c>
      <c r="H16" s="21">
        <f>F16-IF(G16="",0,G16)</f>
        <v>25000</v>
      </c>
    </row>
    <row r="17">
      <c r="A17" s="39" t="n">
        <v>2030</v>
      </c>
      <c r="B17" t="inlineStr">
        <is>
          <t>Engine 1</t>
        </is>
      </c>
      <c r="C17" s="41" t="inlineStr">
        <is>
          <t>Fire Dept Vehicles</t>
        </is>
      </c>
      <c r="D17" s="45">
        <f>'Ballots &amp; Orders'!B79</f>
        <v>2030</v>
      </c>
      <c r="E17" s="21">
        <f>'Ballots &amp; Orders'!D79</f>
        <v>500000</v>
      </c>
      <c r="F17" s="21">
        <f>ROUND(E17*POWER(1+Inputs!$B$7,D17-Inputs!$B$8),0)</f>
        <v>802891</v>
      </c>
      <c r="H17" s="21">
        <f>F17-IF(G17="",0,G17)</f>
        <v>802891</v>
      </c>
    </row>
    <row r="18">
      <c r="A18" s="39" t="n">
        <v>2031</v>
      </c>
      <c r="B18" t="inlineStr">
        <is>
          <t>Routine paving</t>
        </is>
      </c>
      <c r="C18" s="41" t="inlineStr">
        <is>
          <t>Paving</t>
        </is>
      </c>
      <c r="E18" s="10" t="n">
        <v>30000</v>
      </c>
      <c r="F18" s="21">
        <f>E18</f>
        <v>30000</v>
      </c>
      <c r="H18" s="21">
        <f>F18-IF(G18="",0,G18)</f>
        <v>30000</v>
      </c>
    </row>
    <row r="19">
      <c r="A19" s="39" t="n">
        <v>2031</v>
      </c>
      <c r="B19" t="inlineStr">
        <is>
          <t>Town server replacement</t>
        </is>
      </c>
      <c r="C19" s="41" t="inlineStr">
        <is>
          <t>Town Hall</t>
        </is>
      </c>
      <c r="E19" s="10" t="n">
        <v>20000</v>
      </c>
      <c r="F19" s="21">
        <f>E19</f>
        <v>20000</v>
      </c>
      <c r="H19" s="21">
        <f>F19-IF(G19="",0,G19)</f>
        <v>20000</v>
      </c>
    </row>
    <row r="20">
      <c r="A20" s="39" t="n">
        <v>2031</v>
      </c>
      <c r="B20" t="inlineStr">
        <is>
          <t>Tanker</t>
        </is>
      </c>
      <c r="C20" s="41" t="inlineStr">
        <is>
          <t>Fire Dept Vehicles</t>
        </is>
      </c>
      <c r="D20" s="45">
        <f>'Ballots &amp; Orders'!B80</f>
        <v>2031</v>
      </c>
      <c r="E20" s="21">
        <f>'Ballots &amp; Orders'!D80</f>
        <v>250000</v>
      </c>
      <c r="F20" s="21">
        <f>ROUND(E20*POWER(1+Inputs!$B$7,D20-Inputs!$B$8),0)</f>
        <v>429547</v>
      </c>
      <c r="H20" s="21">
        <f>F20-IF(G20="",0,G20)</f>
        <v>429547</v>
      </c>
    </row>
    <row r="21">
      <c r="A21" s="39" t="n">
        <v>2032</v>
      </c>
      <c r="B21" t="inlineStr">
        <is>
          <t>Routine paving</t>
        </is>
      </c>
      <c r="C21" s="41" t="inlineStr">
        <is>
          <t>Paving</t>
        </is>
      </c>
      <c r="E21" s="10" t="n">
        <v>30000</v>
      </c>
      <c r="F21" s="21">
        <f>E21</f>
        <v>30000</v>
      </c>
      <c r="H21" s="21">
        <f>F21-IF(G21="",0,G21)</f>
        <v>30000</v>
      </c>
    </row>
    <row r="22">
      <c r="A22" s="39" t="n">
        <v>2032</v>
      </c>
      <c r="B22" t="inlineStr">
        <is>
          <t>Boiler</t>
        </is>
      </c>
      <c r="C22" s="41" t="inlineStr">
        <is>
          <t>Town Hall</t>
        </is>
      </c>
      <c r="E22" s="10" t="n">
        <v>20000</v>
      </c>
      <c r="F22" s="21">
        <f>E22</f>
        <v>20000</v>
      </c>
      <c r="H22" s="21">
        <f>F22-IF(G22="",0,G22)</f>
        <v>20000</v>
      </c>
    </row>
    <row r="23">
      <c r="A23" s="39" t="n">
        <v>2032</v>
      </c>
      <c r="B23" t="inlineStr">
        <is>
          <t>Interior painting/flooring</t>
        </is>
      </c>
      <c r="C23" s="41" t="inlineStr">
        <is>
          <t>Town Hall</t>
        </is>
      </c>
      <c r="E23" s="10" t="n">
        <v>9000</v>
      </c>
      <c r="F23" s="21">
        <f>E23</f>
        <v>9000</v>
      </c>
      <c r="H23" s="21">
        <f>F23-IF(G23="",0,G23)</f>
        <v>9000</v>
      </c>
    </row>
    <row r="24">
      <c r="A24" s="39" t="n">
        <v>2033</v>
      </c>
      <c r="B24" t="inlineStr">
        <is>
          <t>Routine paving</t>
        </is>
      </c>
      <c r="C24" s="41" t="inlineStr">
        <is>
          <t>Paving</t>
        </is>
      </c>
      <c r="E24" s="10" t="n">
        <v>30000</v>
      </c>
      <c r="F24" s="21">
        <f>E24</f>
        <v>30000</v>
      </c>
      <c r="H24" s="21">
        <f>F24-IF(G24="",0,G24)</f>
        <v>30000</v>
      </c>
    </row>
    <row r="25">
      <c r="A25" s="39" t="n">
        <v>2033</v>
      </c>
      <c r="B25" t="inlineStr">
        <is>
          <t>Fuel tank</t>
        </is>
      </c>
      <c r="C25" s="41" t="inlineStr">
        <is>
          <t>Town Shed</t>
        </is>
      </c>
      <c r="E25" s="10" t="n">
        <v>8500</v>
      </c>
      <c r="F25" s="21">
        <f>E25</f>
        <v>8500</v>
      </c>
      <c r="H25" s="21">
        <f>F25-IF(G25="",0,G25)</f>
        <v>8500</v>
      </c>
    </row>
    <row r="26">
      <c r="A26" s="39" t="n">
        <v>2034</v>
      </c>
      <c r="B26" t="inlineStr">
        <is>
          <t>Routine paving</t>
        </is>
      </c>
      <c r="C26" s="41" t="inlineStr">
        <is>
          <t>Paving</t>
        </is>
      </c>
      <c r="E26" s="10" t="n">
        <v>30000</v>
      </c>
      <c r="F26" s="21">
        <f>E26</f>
        <v>30000</v>
      </c>
      <c r="H26" s="21">
        <f>F26-IF(G26="",0,G26)</f>
        <v>30000</v>
      </c>
    </row>
    <row r="27">
      <c r="A27" s="39" t="n">
        <v>2035</v>
      </c>
      <c r="B27" t="inlineStr">
        <is>
          <t>International 10-wheeler dump</t>
        </is>
      </c>
      <c r="C27" s="41" t="inlineStr">
        <is>
          <t>Public Works Vehicles</t>
        </is>
      </c>
      <c r="E27" s="10" t="n">
        <v>246500</v>
      </c>
      <c r="F27" s="21">
        <f>E27</f>
        <v>246500</v>
      </c>
      <c r="H27" s="21">
        <f>F27-IF(G27="",0,G27)</f>
        <v>246500</v>
      </c>
    </row>
    <row r="28">
      <c r="A28" s="39" t="n">
        <v>2035</v>
      </c>
      <c r="B28" t="inlineStr">
        <is>
          <t>Routine paving</t>
        </is>
      </c>
      <c r="C28" s="41" t="inlineStr">
        <is>
          <t>Paving</t>
        </is>
      </c>
      <c r="E28" s="10" t="n">
        <v>30000</v>
      </c>
      <c r="F28" s="21">
        <f>E28</f>
        <v>30000</v>
      </c>
      <c r="H28" s="21">
        <f>F28-IF(G28="",0,G28)</f>
        <v>30000</v>
      </c>
    </row>
    <row r="29">
      <c r="A29" s="39" t="n">
        <v>2035</v>
      </c>
      <c r="B29" t="inlineStr">
        <is>
          <t>Town server replacement</t>
        </is>
      </c>
      <c r="C29" s="41" t="inlineStr">
        <is>
          <t>Town Hall</t>
        </is>
      </c>
      <c r="E29" s="10" t="n">
        <v>20000</v>
      </c>
      <c r="F29" s="21">
        <f>E29</f>
        <v>20000</v>
      </c>
      <c r="H29" s="21">
        <f>F29-IF(G29="",0,G29)</f>
        <v>20000</v>
      </c>
    </row>
    <row r="30">
      <c r="A30" s="39" t="n">
        <v>2035</v>
      </c>
      <c r="B30" t="inlineStr">
        <is>
          <t>Rescue</t>
        </is>
      </c>
      <c r="C30" s="41" t="inlineStr">
        <is>
          <t>Fire Dept Vehicles</t>
        </is>
      </c>
      <c r="D30" s="45">
        <f>'Ballots &amp; Orders'!B81</f>
        <v>2035</v>
      </c>
      <c r="E30" s="21">
        <f>'Ballots &amp; Orders'!D81</f>
        <v>200000</v>
      </c>
      <c r="F30" s="21">
        <f>ROUND(E30*POWER(1+Inputs!$B$7,D30-Inputs!$B$8),0)</f>
        <v>450438</v>
      </c>
      <c r="H30" s="21">
        <f>F30-IF(G30="",0,G30)</f>
        <v>450438</v>
      </c>
    </row>
    <row r="31">
      <c r="A31" s="39" t="n">
        <v>2036</v>
      </c>
      <c r="B31" t="inlineStr">
        <is>
          <t>Grader</t>
        </is>
      </c>
      <c r="C31" s="41" t="inlineStr">
        <is>
          <t>Public Works Vehicles</t>
        </is>
      </c>
      <c r="E31" s="10" t="n">
        <v>289000</v>
      </c>
      <c r="F31" s="21">
        <f>E31</f>
        <v>289000</v>
      </c>
      <c r="H31" s="21">
        <f>F31-IF(G31="",0,G31)</f>
        <v>289000</v>
      </c>
    </row>
    <row r="32">
      <c r="A32" s="39" t="n">
        <v>2036</v>
      </c>
      <c r="B32" t="inlineStr">
        <is>
          <t>Routine paving</t>
        </is>
      </c>
      <c r="C32" s="41" t="inlineStr">
        <is>
          <t>Paving</t>
        </is>
      </c>
      <c r="E32" s="10" t="n">
        <v>30000</v>
      </c>
      <c r="F32" s="21">
        <f>E32</f>
        <v>30000</v>
      </c>
      <c r="H32" s="21">
        <f>F32-IF(G32="",0,G32)</f>
        <v>30000</v>
      </c>
    </row>
    <row r="33">
      <c r="A33" s="39" t="n">
        <v>2037</v>
      </c>
      <c r="B33" t="inlineStr">
        <is>
          <t>Freightliner 6-wheeler dump</t>
        </is>
      </c>
      <c r="C33" s="41" t="inlineStr">
        <is>
          <t>Public Works Vehicles</t>
        </is>
      </c>
      <c r="E33" s="10" t="n">
        <v>238000</v>
      </c>
      <c r="F33" s="21">
        <f>E33</f>
        <v>238000</v>
      </c>
      <c r="H33" s="21">
        <f>F33-IF(G33="",0,G33)</f>
        <v>238000</v>
      </c>
    </row>
    <row r="34">
      <c r="A34" s="39" t="n">
        <v>2037</v>
      </c>
      <c r="B34" t="inlineStr">
        <is>
          <t>Pickup with plow</t>
        </is>
      </c>
      <c r="C34" s="41" t="inlineStr">
        <is>
          <t>Public Works Vehicles</t>
        </is>
      </c>
      <c r="E34" s="10" t="n">
        <v>68000</v>
      </c>
      <c r="F34" s="21">
        <f>E34</f>
        <v>68000</v>
      </c>
      <c r="H34" s="21">
        <f>F34-IF(G34="",0,G34)</f>
        <v>68000</v>
      </c>
    </row>
    <row r="35">
      <c r="A35" s="39" t="n">
        <v>2037</v>
      </c>
      <c r="B35" t="inlineStr">
        <is>
          <t>Routine paving</t>
        </is>
      </c>
      <c r="C35" s="41" t="inlineStr">
        <is>
          <t>Paving</t>
        </is>
      </c>
      <c r="E35" s="10" t="n">
        <v>30000</v>
      </c>
      <c r="F35" s="21">
        <f>E35</f>
        <v>30000</v>
      </c>
      <c r="H35" s="21">
        <f>F35-IF(G35="",0,G35)</f>
        <v>30000</v>
      </c>
    </row>
    <row r="36">
      <c r="A36" s="39" t="n">
        <v>2037</v>
      </c>
      <c r="B36" t="inlineStr">
        <is>
          <t>Exterior painting</t>
        </is>
      </c>
      <c r="C36" s="41" t="inlineStr">
        <is>
          <t>Town Hall</t>
        </is>
      </c>
      <c r="E36" s="10" t="n">
        <v>12000</v>
      </c>
      <c r="F36" s="21">
        <f>E36</f>
        <v>12000</v>
      </c>
      <c r="H36" s="21">
        <f>F36-IF(G36="",0,G36)</f>
        <v>12000</v>
      </c>
    </row>
    <row r="37">
      <c r="A37" s="39" t="n">
        <v>2038</v>
      </c>
      <c r="B37" t="inlineStr">
        <is>
          <t>Kenworth dump truck</t>
        </is>
      </c>
      <c r="C37" s="41" t="inlineStr">
        <is>
          <t>Public Works Vehicles</t>
        </is>
      </c>
      <c r="E37" s="10" t="n">
        <v>178500</v>
      </c>
      <c r="F37" s="21">
        <f>E37</f>
        <v>178500</v>
      </c>
      <c r="H37" s="21">
        <f>F37-IF(G37="",0,G37)</f>
        <v>178500</v>
      </c>
    </row>
    <row r="38">
      <c r="A38" s="39" t="n">
        <v>2038</v>
      </c>
      <c r="B38" t="inlineStr">
        <is>
          <t>Routine paving</t>
        </is>
      </c>
      <c r="C38" s="41" t="inlineStr">
        <is>
          <t>Paving</t>
        </is>
      </c>
      <c r="E38" s="10" t="n">
        <v>30000</v>
      </c>
      <c r="F38" s="21">
        <f>E38</f>
        <v>30000</v>
      </c>
      <c r="H38" s="21">
        <f>F38-IF(G38="",0,G38)</f>
        <v>30000</v>
      </c>
    </row>
    <row r="39">
      <c r="A39" s="39" t="n">
        <v>2039</v>
      </c>
      <c r="B39" t="inlineStr">
        <is>
          <t>Shady Rill section 2</t>
        </is>
      </c>
      <c r="C39" s="41" t="inlineStr">
        <is>
          <t>Paving</t>
        </is>
      </c>
      <c r="E39" s="10" t="n">
        <v>296515</v>
      </c>
      <c r="F39" s="21">
        <f>E39</f>
        <v>296515</v>
      </c>
      <c r="G39" s="21">
        <f>MIN(Inputs!$B$9,ROUND(Inputs!$B$13*F39,0))</f>
        <v>175000</v>
      </c>
      <c r="H39" s="21">
        <f>F39-IF(G39="",0,G39)</f>
        <v>121515</v>
      </c>
    </row>
    <row r="40">
      <c r="A40" s="39" t="n">
        <v>2039</v>
      </c>
      <c r="B40" t="inlineStr">
        <is>
          <t>Routine paving</t>
        </is>
      </c>
      <c r="C40" s="41" t="inlineStr">
        <is>
          <t>Paving</t>
        </is>
      </c>
      <c r="E40" s="10" t="n">
        <v>30000</v>
      </c>
      <c r="F40" s="21">
        <f>E40</f>
        <v>30000</v>
      </c>
      <c r="H40" s="21">
        <f>F40-IF(G40="",0,G40)</f>
        <v>30000</v>
      </c>
    </row>
    <row r="41">
      <c r="A41" s="39" t="n">
        <v>2040</v>
      </c>
      <c r="B41" t="inlineStr">
        <is>
          <t>Kobelco excavator</t>
        </is>
      </c>
      <c r="C41" s="41" t="inlineStr">
        <is>
          <t>Public Works Vehicles</t>
        </is>
      </c>
      <c r="E41" s="10" t="n">
        <v>170000</v>
      </c>
      <c r="F41" s="21">
        <f>E41</f>
        <v>170000</v>
      </c>
      <c r="H41" s="21">
        <f>F41-IF(G41="",0,G41)</f>
        <v>170000</v>
      </c>
    </row>
    <row r="42">
      <c r="A42" s="39" t="n">
        <v>2040</v>
      </c>
      <c r="B42" t="inlineStr">
        <is>
          <t>Komatsu loader</t>
        </is>
      </c>
      <c r="C42" s="41" t="inlineStr">
        <is>
          <t>Public Works Vehicles</t>
        </is>
      </c>
      <c r="E42" s="10" t="n">
        <v>148750</v>
      </c>
      <c r="F42" s="21">
        <f>E42</f>
        <v>148750</v>
      </c>
      <c r="H42" s="21">
        <f>F42-IF(G42="",0,G42)</f>
        <v>148750</v>
      </c>
    </row>
    <row r="43">
      <c r="A43" s="39" t="n">
        <v>2040</v>
      </c>
      <c r="B43" t="inlineStr">
        <is>
          <t>Routine paving</t>
        </is>
      </c>
      <c r="C43" s="41" t="inlineStr">
        <is>
          <t>Paving</t>
        </is>
      </c>
      <c r="E43" s="10" t="n">
        <v>30000</v>
      </c>
      <c r="F43" s="21">
        <f>E43</f>
        <v>30000</v>
      </c>
      <c r="H43" s="21">
        <f>F43-IF(G43="",0,G43)</f>
        <v>30000</v>
      </c>
    </row>
    <row r="44">
      <c r="A44" s="39" t="n">
        <v>2040</v>
      </c>
      <c r="B44" t="inlineStr">
        <is>
          <t>HVAC</t>
        </is>
      </c>
      <c r="C44" s="41" t="inlineStr">
        <is>
          <t>Fire Station</t>
        </is>
      </c>
      <c r="E44" s="10" t="n">
        <v>15000</v>
      </c>
      <c r="F44" s="21">
        <f>E44</f>
        <v>15000</v>
      </c>
      <c r="H44" s="21">
        <f>F44-IF(G44="",0,G44)</f>
        <v>15000</v>
      </c>
    </row>
    <row r="45">
      <c r="A45" s="39" t="n">
        <v>2041</v>
      </c>
      <c r="B45" t="inlineStr">
        <is>
          <t>Routine paving</t>
        </is>
      </c>
      <c r="C45" s="41" t="inlineStr">
        <is>
          <t>Paving</t>
        </is>
      </c>
      <c r="E45" s="10" t="n">
        <v>30000</v>
      </c>
      <c r="F45" s="21">
        <f>E45</f>
        <v>30000</v>
      </c>
      <c r="H45" s="21">
        <f>F45-IF(G45="",0,G45)</f>
        <v>30000</v>
      </c>
    </row>
    <row r="46">
      <c r="A46" s="39" t="n">
        <v>2042</v>
      </c>
      <c r="B46" t="inlineStr">
        <is>
          <t>International 10-wheeler dump</t>
        </is>
      </c>
      <c r="C46" s="41" t="inlineStr">
        <is>
          <t>Public Works Vehicles</t>
        </is>
      </c>
      <c r="E46" s="10" t="n">
        <v>246500</v>
      </c>
      <c r="F46" s="21">
        <f>E46</f>
        <v>246500</v>
      </c>
      <c r="H46" s="21">
        <f>F46-IF(G46="",0,G46)</f>
        <v>246500</v>
      </c>
    </row>
    <row r="47">
      <c r="A47" s="39" t="n">
        <v>2042</v>
      </c>
      <c r="B47" t="inlineStr">
        <is>
          <t>Routine paving</t>
        </is>
      </c>
      <c r="C47" s="41" t="inlineStr">
        <is>
          <t>Paving</t>
        </is>
      </c>
      <c r="E47" s="10" t="n">
        <v>30000</v>
      </c>
      <c r="F47" s="21">
        <f>E47</f>
        <v>30000</v>
      </c>
      <c r="H47" s="21">
        <f>F47-IF(G47="",0,G47)</f>
        <v>30000</v>
      </c>
    </row>
    <row r="48">
      <c r="A48" s="39" t="n">
        <v>2042</v>
      </c>
      <c r="B48" t="inlineStr">
        <is>
          <t>Roof</t>
        </is>
      </c>
      <c r="C48" s="41" t="inlineStr">
        <is>
          <t>Town Hall</t>
        </is>
      </c>
      <c r="E48" s="10" t="n">
        <v>25000</v>
      </c>
      <c r="F48" s="21">
        <f>E48</f>
        <v>25000</v>
      </c>
      <c r="H48" s="21">
        <f>F48-IF(G48="",0,G48)</f>
        <v>25000</v>
      </c>
    </row>
    <row r="50">
      <c r="B50" s="16" t="inlineStr">
        <is>
          <t>Total (market basis / net local share)</t>
        </is>
      </c>
      <c r="F50" s="17">
        <f>SUM(F2:F48)</f>
        <v>6551622</v>
      </c>
      <c r="H50" s="17">
        <f>SUM(H2:H48)</f>
        <v>6201622</v>
      </c>
    </row>
    <row r="51">
      <c r="A51" s="6" t="inlineStr">
        <is>
          <t>Apparatus market prices are live formulas: sheet price escalated from the vintage year to the order year (prices lock at contract, and Engine 6's order predates this window). Which projects win a grant is an engine assumption; each award amount is the statutory-cap formula.</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2.xml><?xml version="1.0" encoding="utf-8"?>
<worksheet xmlns="http://schemas.openxmlformats.org/spreadsheetml/2006/main">
  <sheetPr>
    <tabColor rgb="FF6B7280"/>
    <outlinePr summaryBelow="1" summaryRight="1"/>
    <pageSetUpPr fitToPage="1"/>
  </sheetPr>
  <dimension ref="A1:D34"/>
  <sheetViews>
    <sheetView workbookViewId="0">
      <selection activeCell="A1" sqref="A1"/>
    </sheetView>
  </sheetViews>
  <sheetFormatPr baseColWidth="8" defaultRowHeight="15"/>
  <cols>
    <col width="46" customWidth="1" min="1" max="1"/>
    <col width="18" customWidth="1" min="2" max="2"/>
    <col width="24" customWidth="1" min="3" max="3"/>
    <col width="60" customWidth="1" min="4" max="4"/>
  </cols>
  <sheetData>
    <row r="1">
      <c r="A1" s="4" t="inlineStr">
        <is>
          <t>Model parameters (blue = input; formulas elsewhere in the workbook reference these cells)</t>
        </is>
      </c>
    </row>
    <row r="2">
      <c r="A2" t="inlineStr">
        <is>
          <t>Reserve earnings, base (town's realized FY2025 yield)</t>
        </is>
      </c>
      <c r="B2" s="5" t="n">
        <v>0.007000000000000001</v>
      </c>
      <c r="D2" s="6" t="inlineStr">
        <is>
          <t>drives the interest-earned tie check; the plans' earnings themselves are engine outputs — editing this trips the check, regenerate to reprice</t>
        </is>
      </c>
    </row>
    <row r="3">
      <c r="A3" t="inlineStr">
        <is>
          <t>Reserve earnings, reform scenario</t>
        </is>
      </c>
      <c r="B3" s="7" t="n">
        <v>0.035</v>
      </c>
      <c r="D3" s="6" t="inlineStr">
        <is>
          <t>engine reference value — grey italic; not used by any workbook formula; sensitivity on the Scenarios tab</t>
        </is>
      </c>
    </row>
    <row r="4">
      <c r="A4" t="inlineStr">
        <is>
          <t>Bank 5-yr note rate</t>
        </is>
      </c>
      <c r="B4" s="7" t="n">
        <v>0.05</v>
      </c>
      <c r="D4" s="6" t="inlineStr">
        <is>
          <t>engine parameter — no scenario run for this rate; the What-If rate-sensitivity block approximates, pipeline.py reprices</t>
        </is>
      </c>
    </row>
    <row r="5">
      <c r="A5" t="inlineStr">
        <is>
          <t>Vendor installment rate (heavy trucks, 5-yr)</t>
        </is>
      </c>
      <c r="B5" s="7" t="n">
        <v>0.055</v>
      </c>
      <c r="D5" s="6" t="inlineStr">
        <is>
          <t>engine parameter — no scenario run for this rate; the What-If rate-sensitivity block approximates, pipeline.py reprices</t>
        </is>
      </c>
    </row>
    <row r="6">
      <c r="A6" t="inlineStr">
        <is>
          <t>VMBB ballot-financing rate (set at sale; town's 2025 loan was 3.50%)</t>
        </is>
      </c>
      <c r="B6" s="7" t="n">
        <v>0.04</v>
      </c>
      <c r="D6" s="6" t="inlineStr">
        <is>
          <t>engine reference value — grey italic; not used by any workbook formula; sensitivity on the Scenarios tab</t>
        </is>
      </c>
    </row>
    <row r="7">
      <c r="A7" t="inlineStr">
        <is>
          <t>Apparatus escalation to order year</t>
        </is>
      </c>
      <c r="B7" s="8" t="n">
        <v>0.07000000000000001</v>
      </c>
      <c r="D7" s="6" t="inlineStr">
        <is>
          <t>reaches the locked-price and grant display cells only; financed amounts and plan results are engine outputs — the price-inputs check flags divergence</t>
        </is>
      </c>
    </row>
    <row r="8">
      <c r="A8" t="inlineStr">
        <is>
          <t>Apparatus price vintage (committee sheet year)</t>
        </is>
      </c>
      <c r="B8" s="9" t="n">
        <v>2023</v>
      </c>
      <c r="D8" s="6" t="inlineStr">
        <is>
          <t>reaches the locked-price and grant display cells only; financed amounts and plan results are engine outputs — the price-inputs check flags divergence</t>
        </is>
      </c>
    </row>
    <row r="9">
      <c r="A9" t="inlineStr">
        <is>
          <t>Class 2 grant cap per project (19 V.S.A. § 309b)</t>
        </is>
      </c>
      <c r="B9" s="10" t="n">
        <v>175000</v>
      </c>
      <c r="D9" s="6" t="inlineStr">
        <is>
          <t>reaches the locked-price and grant display cells only; financed amounts and plan results are engine outputs — the price-inputs check flags divergence</t>
        </is>
      </c>
    </row>
    <row r="10">
      <c r="A10" t="inlineStr">
        <is>
          <t>Grand list: $ per 1¢ of municipal rate</t>
        </is>
      </c>
      <c r="B10" s="10" t="n">
        <v>24001.3</v>
      </c>
    </row>
    <row r="11">
      <c r="A11" t="inlineStr">
        <is>
          <t>FY2027 non-flood capital+debt anchor</t>
        </is>
      </c>
      <c r="B11" s="10" t="n">
        <v>268022</v>
      </c>
      <c r="D11" s="6" t="inlineStr">
        <is>
          <t>the $126,000 capital line plus the four FY2027 non-flood debt payments — fire station bond $46,817, grader note $25,572, excavator note $27,979, Kenworth note $41,654 (final year); the Summary's change rows measure against this full figure, not the capital line alone</t>
        </is>
      </c>
    </row>
    <row r="12">
      <c r="A12" t="inlineStr">
        <is>
          <t>CLA</t>
        </is>
      </c>
      <c r="B12" s="5" t="n">
        <v>0.6533</v>
      </c>
    </row>
    <row r="13">
      <c r="A13" t="inlineStr">
        <is>
          <t>Class 2 grant state share (19 V.S.A. § 309b)</t>
        </is>
      </c>
      <c r="B13" s="11" t="n">
        <v>0.8</v>
      </c>
      <c r="D13" s="6" t="inlineStr">
        <is>
          <t>reaches the locked-price and grant display cells only; financed amounts and plan results are engine outputs — the price-inputs check flags divergence</t>
        </is>
      </c>
    </row>
    <row r="14">
      <c r="A14" t="inlineStr">
        <is>
          <t>Example home, market price (tax-impact rows)</t>
        </is>
      </c>
      <c r="B14" s="10" t="n">
        <v>300000</v>
      </c>
    </row>
    <row r="15">
      <c r="A15" t="inlineStr">
        <is>
          <t>Model window, first fiscal year</t>
        </is>
      </c>
      <c r="B15" s="12" t="n">
        <v>2028</v>
      </c>
      <c r="D15" s="6" t="inlineStr">
        <is>
          <t>fixed by the engine run; referenced by the What-If formulas — do not edit</t>
        </is>
      </c>
    </row>
    <row r="16">
      <c r="A16" t="inlineStr">
        <is>
          <t>Model window, last fiscal year</t>
        </is>
      </c>
      <c r="B16" s="12" t="n">
        <v>2042</v>
      </c>
      <c r="D16" s="6" t="inlineStr">
        <is>
          <t>fixed by the engine run; referenced by the What-If formulas — do not edit</t>
        </is>
      </c>
    </row>
    <row r="17">
      <c r="A17" t="inlineStr">
        <is>
          <t>Starting fund balances (audited 6/30/2025)</t>
        </is>
      </c>
      <c r="B17" s="13">
        <f>SUM(B28:B33)</f>
        <v>341657</v>
      </c>
      <c r="D17" s="6" t="inlineStr">
        <is>
          <t>derived: sum of the per-fund balances below</t>
        </is>
      </c>
    </row>
    <row r="19">
      <c r="A19" s="4" t="inlineStr">
        <is>
          <t>Entering non-flood notes</t>
        </is>
      </c>
    </row>
    <row r="20">
      <c r="A20" s="14" t="inlineStr">
        <is>
          <t>Note</t>
        </is>
      </c>
      <c r="B20" s="14" t="inlineStr">
        <is>
          <t>Rate</t>
        </is>
      </c>
      <c r="C20" s="14" t="inlineStr">
        <is>
          <t>Balance entering FY2028</t>
        </is>
      </c>
      <c r="D20" s="14" t="inlineStr">
        <is>
          <t>Structure / paid from</t>
        </is>
      </c>
    </row>
    <row r="21">
      <c r="A21" t="inlineStr">
        <is>
          <t>Fire station bond (final FY2030)</t>
        </is>
      </c>
      <c r="B21" s="15" t="n">
        <v>0.04190000000000001</v>
      </c>
      <c r="C21" s="10" t="n">
        <v>120000</v>
      </c>
      <c r="D21" s="6" t="inlineStr">
        <is>
          <t>level principal $40,000; tax levy (no fund purpose covers it) (rate is a pipeline parameter)</t>
        </is>
      </c>
    </row>
    <row r="22">
      <c r="A22" t="inlineStr">
        <is>
          <t>Grader note (final FY2036)</t>
        </is>
      </c>
      <c r="B22" s="15" t="n">
        <v>0.0245</v>
      </c>
      <c r="C22" s="10" t="n">
        <v>183600</v>
      </c>
      <c r="D22" s="6" t="inlineStr">
        <is>
          <t>level principal $20,400; Asset &amp; Equipment fund in single-line plans (rate is a pipeline parameter)</t>
        </is>
      </c>
    </row>
    <row r="23">
      <c r="A23" t="inlineStr">
        <is>
          <t>Excavator note (final FY2035)</t>
        </is>
      </c>
      <c r="B23" s="15" t="n">
        <v>0.0597</v>
      </c>
      <c r="C23" s="10" t="n">
        <v>143300</v>
      </c>
      <c r="D23" s="6" t="inlineStr">
        <is>
          <t>level principal $18,200 + FY2035 residual; Asset &amp; Equipment fund in single-line plans (rate is a pipeline parameter)</t>
        </is>
      </c>
    </row>
    <row r="24">
      <c r="A24" s="16" t="inlineStr">
        <is>
          <t>Total entering notes</t>
        </is>
      </c>
      <c r="C24" s="17">
        <f>SUM(C21:C23)</f>
        <v>446900</v>
      </c>
    </row>
    <row r="25">
      <c r="A25" s="16" t="inlineStr">
        <is>
          <t>Net position entering FY2028</t>
        </is>
      </c>
      <c r="C25" s="17">
        <f>Inputs!$B$17-Inputs!$C$24</f>
        <v>-105243</v>
      </c>
      <c r="D25" s="6" t="inlineStr">
        <is>
          <t>funds − entering notes; the baseline every plan's true cost is measured against</t>
        </is>
      </c>
    </row>
    <row r="27">
      <c r="A27" s="4" t="inlineStr">
        <is>
          <t>Starting fund balances by fund (audited 6/30/2025)</t>
        </is>
      </c>
    </row>
    <row r="28">
      <c r="A28" t="inlineStr">
        <is>
          <t>Bridge</t>
        </is>
      </c>
      <c r="B28" s="10" t="n">
        <v>50988</v>
      </c>
    </row>
    <row r="29">
      <c r="A29" t="inlineStr">
        <is>
          <t>Town Garage</t>
        </is>
      </c>
      <c r="B29" s="10" t="n">
        <v>35652</v>
      </c>
    </row>
    <row r="30">
      <c r="A30" t="inlineStr">
        <is>
          <t>Town Hall Building</t>
        </is>
      </c>
      <c r="B30" s="10" t="n">
        <v>93729</v>
      </c>
    </row>
    <row r="31">
      <c r="A31" t="inlineStr">
        <is>
          <t>Court Resurfacing</t>
        </is>
      </c>
      <c r="B31" s="10" t="n">
        <v>18466</v>
      </c>
    </row>
    <row r="32">
      <c r="A32" t="inlineStr">
        <is>
          <t>Asset &amp; Equipment</t>
        </is>
      </c>
      <c r="B32" s="10" t="n">
        <v>100463</v>
      </c>
    </row>
    <row r="33">
      <c r="A33" t="inlineStr">
        <is>
          <t>Paving</t>
        </is>
      </c>
      <c r="B33" s="10" t="n">
        <v>42359</v>
      </c>
    </row>
    <row r="34">
      <c r="A34" s="16" t="inlineStr">
        <is>
          <t>Total</t>
        </is>
      </c>
      <c r="B34" s="17">
        <f>SUM(B28:B33)</f>
        <v>341657</v>
      </c>
      <c r="C34" s="6" t="inlineStr">
        <is>
          <t>live sum of the per-fund inputs above</t>
        </is>
      </c>
    </row>
  </sheetData>
  <sheetProtection selectLockedCells="0" selectUnlockedCells="0" sheet="1" objects="0" insertRows="1" insertHyperlinks="1" autoFilter="1" scenarios="0" formatColumns="0" deleteColumns="1" insertColumns="1" pivotTables="1" deleteRows="1" formatCells="0" formatRows="0" sort="1"/>
  <dataValidations count="1">
    <dataValidation sqref="B2:B17" showDropDown="0" showInputMessage="0" showErrorMessage="1" allowBlank="0" error="Inputs must be non-negative numbers" type="decimal" operator="greaterThanOrEqual">
      <formula1>0</formula1>
    </dataValidation>
  </dataValidations>
  <pageMargins left="0.75" right="0.75" top="1" bottom="1" header="0.5" footer="0.5"/>
  <pageSetup orientation="landscape" fitToHeight="0" fitToWidth="1"/>
</worksheet>
</file>

<file path=xl/worksheets/sheet3.xml><?xml version="1.0" encoding="utf-8"?>
<worksheet xmlns="http://schemas.openxmlformats.org/spreadsheetml/2006/main">
  <sheetPr>
    <tabColor rgb="FF1E4D2B"/>
    <outlinePr summaryBelow="1" summaryRight="1"/>
    <pageSetUpPr fitToPage="1"/>
  </sheetPr>
  <dimension ref="A1:H44"/>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38" customWidth="1" min="1" max="1"/>
    <col width="19" customWidth="1" min="2" max="2"/>
    <col width="19" customWidth="1" min="3" max="3"/>
    <col width="19" customWidth="1" min="4" max="4"/>
    <col width="19" customWidth="1" min="5" max="5"/>
    <col width="19" customWidth="1" min="6" max="6"/>
    <col width="19" customWidth="1" min="7" max="7"/>
  </cols>
  <sheetData>
    <row r="1">
      <c r="A1" s="14" t="inlineStr">
        <is>
          <t>Summary — FY2028–FY2042 (market-adjusted basis)</t>
        </is>
      </c>
      <c r="B1" s="14" t="inlineStr">
        <is>
          <t>Current practice</t>
        </is>
      </c>
      <c r="C1" s="14" t="inlineStr">
        <is>
          <t>Save $50,000 more a year</t>
        </is>
      </c>
      <c r="D1" s="14" t="inlineStr">
        <is>
          <t>Phased start from $300k (reaches $500k in FY2032)</t>
        </is>
      </c>
      <c r="E1" s="14" t="inlineStr">
        <is>
          <t>Break even by 2042 ($500k/yr)</t>
        </is>
      </c>
      <c r="F1" s="14" t="inlineStr">
        <is>
          <t>Step up to $530k/yr (by FY2030)</t>
        </is>
      </c>
      <c r="G1" s="14" t="inlineStr">
        <is>
          <t>Full pre-funding ($565k/yr)</t>
        </is>
      </c>
    </row>
    <row r="2">
      <c r="A2" s="18" t="inlineStr">
        <is>
          <t>The annual capital budget</t>
        </is>
      </c>
      <c r="B2" s="19" t="n"/>
      <c r="C2" s="19" t="n"/>
      <c r="D2" s="19" t="n"/>
      <c r="E2" s="19" t="n"/>
      <c r="F2" s="19" t="n"/>
      <c r="G2" s="19" t="n"/>
    </row>
    <row r="3">
      <c r="A3" s="20" t="inlineStr">
        <is>
          <t>FY2028 capital budget</t>
        </is>
      </c>
      <c r="B3" s="21">
        <f>'Annual — Levy'!B3</f>
        <v>222681</v>
      </c>
      <c r="C3" s="21">
        <f>'Annual — Levy'!C3</f>
        <v>272681</v>
      </c>
      <c r="D3" s="21">
        <f>'Annual — Levy'!D3</f>
        <v>300000</v>
      </c>
      <c r="E3" s="21">
        <f>'Annual — Levy'!E3</f>
        <v>500000</v>
      </c>
      <c r="F3" s="21">
        <f>'Annual — Levy'!F3</f>
        <v>450000</v>
      </c>
      <c r="G3" s="21">
        <f>'Annual — Levy'!G3</f>
        <v>565000</v>
      </c>
    </row>
    <row r="4">
      <c r="A4" s="20" t="inlineStr">
        <is>
          <t>Average per year, FY28–42</t>
        </is>
      </c>
      <c r="B4" s="21">
        <f>ROUND(AVERAGE('Annual — Levy'!B3:B17),0)</f>
        <v>505477</v>
      </c>
      <c r="C4" s="21">
        <f>ROUND(AVERAGE('Annual — Levy'!C3:C17),0)</f>
        <v>497314</v>
      </c>
      <c r="D4" s="21">
        <f>ROUND(AVERAGE('Annual — Levy'!D3:D17),0)</f>
        <v>500400</v>
      </c>
      <c r="E4" s="21">
        <f>ROUND(AVERAGE('Annual — Levy'!E3:E17),0)</f>
        <v>501733</v>
      </c>
      <c r="F4" s="21">
        <f>ROUND(AVERAGE('Annual — Levy'!F3:F17),0)</f>
        <v>523733</v>
      </c>
      <c r="G4" s="21">
        <f>ROUND(AVERAGE('Annual — Levy'!G3:G17),0)</f>
        <v>566733</v>
      </c>
    </row>
    <row r="5">
      <c r="A5" s="20" t="inlineStr">
        <is>
          <t>Highest year</t>
        </is>
      </c>
      <c r="B5" s="21">
        <f>MAX('Annual — Levy'!B3:B17)</f>
        <v>633716</v>
      </c>
      <c r="C5" s="21">
        <f>MAX('Annual — Levy'!C3:C17)</f>
        <v>616150</v>
      </c>
      <c r="D5" s="21">
        <f>MAX('Annual — Levy'!D3:D17)</f>
        <v>690000</v>
      </c>
      <c r="E5" s="21">
        <f>MAX('Annual — Levy'!E3:E17)</f>
        <v>515000</v>
      </c>
      <c r="F5" s="21">
        <f>MAX('Annual — Levy'!F3:F17)</f>
        <v>545000</v>
      </c>
      <c r="G5" s="21">
        <f>MAX('Annual — Levy'!G3:G17)</f>
        <v>580000</v>
      </c>
    </row>
    <row r="6">
      <c r="A6" s="20" t="inlineStr">
        <is>
          <t>Total raised, FY28–42</t>
        </is>
      </c>
      <c r="B6" s="21">
        <f>'Annual — Levy'!B18</f>
        <v>7582148</v>
      </c>
      <c r="C6" s="21">
        <f>'Annual — Levy'!C18</f>
        <v>7459716</v>
      </c>
      <c r="D6" s="21">
        <f>'Annual — Levy'!D18</f>
        <v>7506000</v>
      </c>
      <c r="E6" s="21">
        <f>'Annual — Levy'!E18</f>
        <v>7526000</v>
      </c>
      <c r="F6" s="21">
        <f>'Annual — Levy'!F18</f>
        <v>7856000</v>
      </c>
      <c r="G6" s="21">
        <f>'Annual — Levy'!G18</f>
        <v>8501000</v>
      </c>
    </row>
    <row r="7">
      <c r="A7" s="18" t="inlineStr">
        <is>
          <t>Tax impact of the FY2028 capital budget (change vs the full $268,022 FY2027 capital+debt spend — breakdown on the Inputs tab)</t>
        </is>
      </c>
      <c r="B7" s="19" t="n"/>
      <c r="C7" s="19" t="n"/>
      <c r="D7" s="19" t="n"/>
      <c r="E7" s="19" t="n"/>
      <c r="F7" s="19" t="n"/>
      <c r="G7" s="19" t="n"/>
    </row>
    <row r="8">
      <c r="A8" s="20" t="inlineStr">
        <is>
          <t>Change vs FY2027, $/yr</t>
        </is>
      </c>
      <c r="B8" s="21">
        <f>B3-Inputs!$B$11</f>
        <v>-45341</v>
      </c>
      <c r="C8" s="21">
        <f>C3-Inputs!$B$11</f>
        <v>4659</v>
      </c>
      <c r="D8" s="21">
        <f>D3-Inputs!$B$11</f>
        <v>31978</v>
      </c>
      <c r="E8" s="21">
        <f>E3-Inputs!$B$11</f>
        <v>231978</v>
      </c>
      <c r="F8" s="21">
        <f>F3-Inputs!$B$11</f>
        <v>181978</v>
      </c>
      <c r="G8" s="21">
        <f>G3-Inputs!$B$11</f>
        <v>296978</v>
      </c>
    </row>
    <row r="9">
      <c r="A9" s="20" t="inlineStr">
        <is>
          <t>Cents on the municipal rate</t>
        </is>
      </c>
      <c r="B9" s="22">
        <f>ROUND(B8/Inputs!$B$10,1)</f>
        <v>-1.9</v>
      </c>
      <c r="C9" s="22">
        <f>ROUND(C8/Inputs!$B$10,1)</f>
        <v>0.2</v>
      </c>
      <c r="D9" s="22">
        <f>ROUND(D8/Inputs!$B$10,1)</f>
        <v>1.3</v>
      </c>
      <c r="E9" s="22">
        <f>ROUND(E8/Inputs!$B$10,1)</f>
        <v>9.7</v>
      </c>
      <c r="F9" s="22">
        <f>ROUND(F8/Inputs!$B$10,1)</f>
        <v>7.6</v>
      </c>
      <c r="G9" s="22">
        <f>ROUND(G8/Inputs!$B$10,1)</f>
        <v>12.4</v>
      </c>
    </row>
    <row r="10">
      <c r="A10" s="20" t="inlineStr">
        <is>
          <t>$/yr per $100,000 assessed</t>
        </is>
      </c>
      <c r="B10" s="21">
        <f>ROUND(B8/Inputs!$B$10*10,0)</f>
        <v>-19</v>
      </c>
      <c r="C10" s="21">
        <f>ROUND(C8/Inputs!$B$10*10,0)</f>
        <v>2</v>
      </c>
      <c r="D10" s="21">
        <f>ROUND(D8/Inputs!$B$10*10,0)</f>
        <v>13</v>
      </c>
      <c r="E10" s="21">
        <f>ROUND(E8/Inputs!$B$10*10,0)</f>
        <v>97</v>
      </c>
      <c r="F10" s="21">
        <f>ROUND(F8/Inputs!$B$10*10,0)</f>
        <v>76</v>
      </c>
      <c r="G10" s="21">
        <f>ROUND(G8/Inputs!$B$10*10,0)</f>
        <v>124</v>
      </c>
      <c r="H10" s="6" t="inlineStr">
        <is>
          <t>×10: one cent on the rate is $10 per $100,000 assessed</t>
        </is>
      </c>
    </row>
    <row r="11">
      <c r="A11" s="20" t="inlineStr">
        <is>
          <t>$/yr, example market-price home (Inputs)</t>
        </is>
      </c>
      <c r="B11" s="21">
        <f>ROUND(B8/Inputs!$B$10*Inputs!$B$14/10000*Inputs!$B$12,0)</f>
        <v>-37</v>
      </c>
      <c r="C11" s="21">
        <f>ROUND(C8/Inputs!$B$10*Inputs!$B$14/10000*Inputs!$B$12,0)</f>
        <v>4</v>
      </c>
      <c r="D11" s="21">
        <f>ROUND(D8/Inputs!$B$10*Inputs!$B$14/10000*Inputs!$B$12,0)</f>
        <v>26</v>
      </c>
      <c r="E11" s="21">
        <f>ROUND(E8/Inputs!$B$10*Inputs!$B$14/10000*Inputs!$B$12,0)</f>
        <v>189</v>
      </c>
      <c r="F11" s="21">
        <f>ROUND(F8/Inputs!$B$10*Inputs!$B$14/10000*Inputs!$B$12,0)</f>
        <v>149</v>
      </c>
      <c r="G11" s="21">
        <f>ROUND(G8/Inputs!$B$10*Inputs!$B$14/10000*Inputs!$B$12,0)</f>
        <v>243</v>
      </c>
      <c r="H11" s="6" t="inlineStr">
        <is>
          <t>home price ÷ $10,000-per-cent × CLA (assessed value)</t>
        </is>
      </c>
    </row>
    <row r="12">
      <c r="A12" s="18" t="inlineStr">
        <is>
          <t>What the capital budget costs in taxes — the whole bill, not the increase (average FY2028–42)</t>
        </is>
      </c>
      <c r="B12" s="19" t="n"/>
      <c r="C12" s="19" t="n"/>
      <c r="D12" s="19" t="n"/>
      <c r="E12" s="19" t="n"/>
      <c r="F12" s="19" t="n"/>
      <c r="G12" s="19" t="n"/>
    </row>
    <row r="13">
      <c r="A13" s="20" t="inlineStr">
        <is>
          <t>Capital revenue needed from taxes, $/yr</t>
        </is>
      </c>
      <c r="B13" s="21">
        <f>B4</f>
        <v>505477</v>
      </c>
      <c r="C13" s="21">
        <f>C4</f>
        <v>497314</v>
      </c>
      <c r="D13" s="21">
        <f>D4</f>
        <v>500400</v>
      </c>
      <c r="E13" s="21">
        <f>E4</f>
        <v>501733</v>
      </c>
      <c r="F13" s="21">
        <f>F4</f>
        <v>523733</v>
      </c>
      <c r="G13" s="21">
        <f>G4</f>
        <v>566733</v>
      </c>
    </row>
    <row r="14">
      <c r="A14" s="20" t="inlineStr">
        <is>
          <t>As cents on the municipal rate</t>
        </is>
      </c>
      <c r="B14" s="22">
        <f>ROUND(B4/Inputs!$B$10,1)</f>
        <v>21.1</v>
      </c>
      <c r="C14" s="22">
        <f>ROUND(C4/Inputs!$B$10,1)</f>
        <v>20.7</v>
      </c>
      <c r="D14" s="22">
        <f>ROUND(D4/Inputs!$B$10,1)</f>
        <v>20.8</v>
      </c>
      <c r="E14" s="22">
        <f>ROUND(E4/Inputs!$B$10,1)</f>
        <v>20.9</v>
      </c>
      <c r="F14" s="22">
        <f>ROUND(F4/Inputs!$B$10,1)</f>
        <v>21.8</v>
      </c>
      <c r="G14" s="22">
        <f>ROUND(G4/Inputs!$B$10,1)</f>
        <v>23.6</v>
      </c>
    </row>
    <row r="15">
      <c r="A15" s="20" t="inlineStr">
        <is>
          <t>$/yr per $100,000 of home market value</t>
        </is>
      </c>
      <c r="B15" s="21">
        <f>ROUND(B4/Inputs!$B$10*10*Inputs!$B$12,0)</f>
        <v>138</v>
      </c>
      <c r="C15" s="21">
        <f>ROUND(C4/Inputs!$B$10*10*Inputs!$B$12,0)</f>
        <v>135</v>
      </c>
      <c r="D15" s="21">
        <f>ROUND(D4/Inputs!$B$10*10*Inputs!$B$12,0)</f>
        <v>136</v>
      </c>
      <c r="E15" s="21">
        <f>ROUND(E4/Inputs!$B$10*10*Inputs!$B$12,0)</f>
        <v>137</v>
      </c>
      <c r="F15" s="21">
        <f>ROUND(F4/Inputs!$B$10*10*Inputs!$B$12,0)</f>
        <v>143</v>
      </c>
      <c r="G15" s="21">
        <f>ROUND(G4/Inputs!$B$10*10*Inputs!$B$12,0)</f>
        <v>154</v>
      </c>
      <c r="H15" s="6" t="inlineStr">
        <is>
          <t>market value × the CLA gives assessed value; one cent on the rate is $10 per $100,000 assessed</t>
        </is>
      </c>
    </row>
    <row r="16">
      <c r="A16" s="20" t="inlineStr">
        <is>
          <t>$/yr on the example home</t>
        </is>
      </c>
      <c r="B16" s="21">
        <f>ROUND(B4/Inputs!$B$10*Inputs!$B$14/10000*Inputs!$B$12,0)</f>
        <v>413</v>
      </c>
      <c r="C16" s="21">
        <f>ROUND(C4/Inputs!$B$10*Inputs!$B$14/10000*Inputs!$B$12,0)</f>
        <v>406</v>
      </c>
      <c r="D16" s="21">
        <f>ROUND(D4/Inputs!$B$10*Inputs!$B$14/10000*Inputs!$B$12,0)</f>
        <v>409</v>
      </c>
      <c r="E16" s="21">
        <f>ROUND(E4/Inputs!$B$10*Inputs!$B$14/10000*Inputs!$B$12,0)</f>
        <v>410</v>
      </c>
      <c r="F16" s="21">
        <f>ROUND(F4/Inputs!$B$10*Inputs!$B$14/10000*Inputs!$B$12,0)</f>
        <v>428</v>
      </c>
      <c r="G16" s="21">
        <f>ROUND(G4/Inputs!$B$10*Inputs!$B$14/10000*Inputs!$B$12,0)</f>
        <v>463</v>
      </c>
      <c r="H16" s="6" t="inlineStr">
        <is>
          <t>the whole bill on the example home; the increase over FY2027 is the block above</t>
        </is>
      </c>
    </row>
    <row r="17">
      <c r="A17" s="18" t="inlineStr">
        <is>
          <t>Governance over the window</t>
        </is>
      </c>
      <c r="B17" s="19" t="n"/>
      <c r="C17" s="19" t="n"/>
      <c r="D17" s="19" t="n"/>
      <c r="E17" s="19" t="n"/>
      <c r="F17" s="19" t="n"/>
      <c r="G17" s="19" t="n"/>
    </row>
    <row r="18">
      <c r="A18" s="20" t="inlineStr">
        <is>
          <t>Australian-ballot bond questions</t>
        </is>
      </c>
      <c r="B18" s="23">
        <f>COUNTIFS('Ballots &amp; Orders'!$F:$F,"P0",'Ballots &amp; Orders'!$G:$G,1)</f>
        <v>2</v>
      </c>
      <c r="C18" s="24">
        <f>COUNTIFS('Ballots &amp; Orders'!$F:$F,"P1",'Ballots &amp; Orders'!$G:$G,1)</f>
        <v>1</v>
      </c>
      <c r="D18" s="23">
        <f>COUNTIFS('Ballots &amp; Orders'!$F:$F,"P2",'Ballots &amp; Orders'!$G:$G,1)</f>
        <v>2</v>
      </c>
      <c r="E18" s="23">
        <f>COUNTIFS('Ballots &amp; Orders'!$F:$F,"P3",'Ballots &amp; Orders'!$G:$G,1)</f>
        <v>2</v>
      </c>
      <c r="F18" s="23">
        <f>COUNTIFS('Ballots &amp; Orders'!$F:$F,"P5",'Ballots &amp; Orders'!$G:$G,1)</f>
        <v>2</v>
      </c>
      <c r="G18" s="24">
        <f>COUNTIFS('Ballots &amp; Orders'!$F:$F,"P4",'Ballots &amp; Orders'!$G:$G,1)</f>
        <v>1</v>
      </c>
    </row>
    <row r="19">
      <c r="A19" s="20" t="inlineStr">
        <is>
          <t>Warned note and installment articles</t>
        </is>
      </c>
      <c r="B19" s="23">
        <f>COUNTIFS('Ballots &amp; Orders'!$F:$F,"P0")-B18</f>
        <v>11</v>
      </c>
      <c r="C19" s="23">
        <f>COUNTIFS('Ballots &amp; Orders'!$F:$F,"P1")-C18</f>
        <v>13</v>
      </c>
      <c r="D19" s="23">
        <f>COUNTIFS('Ballots &amp; Orders'!$F:$F,"P2")-D18</f>
        <v>13</v>
      </c>
      <c r="E19" s="23">
        <f>COUNTIFS('Ballots &amp; Orders'!$F:$F,"P3")-E18</f>
        <v>10</v>
      </c>
      <c r="F19" s="23">
        <f>COUNTIFS('Ballots &amp; Orders'!$F:$F,"P5")-F18</f>
        <v>10</v>
      </c>
      <c r="G19" s="24">
        <f>COUNTIFS('Ballots &amp; Orders'!$F:$F,"P4")-G18</f>
        <v>6</v>
      </c>
    </row>
    <row r="20">
      <c r="A20" s="18" t="inlineStr">
        <is>
          <t>Fifteen-year flows</t>
        </is>
      </c>
      <c r="B20" s="19" t="n"/>
      <c r="C20" s="19" t="n"/>
      <c r="D20" s="19" t="n"/>
      <c r="E20" s="19" t="n"/>
      <c r="F20" s="19" t="n"/>
      <c r="G20" s="19" t="n"/>
    </row>
    <row r="21">
      <c r="A21" s="20" t="inlineStr">
        <is>
          <t>Interest paid</t>
        </is>
      </c>
      <c r="B21" s="21">
        <f>'Annual — Detail'!B75</f>
        <v>1117560</v>
      </c>
      <c r="C21" s="21">
        <f>'Annual — Detail'!C75</f>
        <v>884499</v>
      </c>
      <c r="D21" s="21">
        <f>'Annual — Detail'!D75</f>
        <v>938853</v>
      </c>
      <c r="E21" s="21">
        <f>'Annual — Detail'!E75</f>
        <v>947385</v>
      </c>
      <c r="F21" s="21">
        <f>'Annual — Detail'!F75</f>
        <v>897874</v>
      </c>
      <c r="G21" s="25">
        <f>'Annual — Detail'!G75</f>
        <v>680463</v>
      </c>
    </row>
    <row r="22">
      <c r="A22" s="20" t="inlineStr">
        <is>
          <t>Interest earned on reserves</t>
        </is>
      </c>
      <c r="B22" s="25">
        <f>'Annual — Detail'!B94</f>
        <v>65280</v>
      </c>
      <c r="C22" s="21">
        <f>'Annual — Detail'!C94</f>
        <v>40217</v>
      </c>
      <c r="D22" s="21">
        <f>'Annual — Detail'!D94</f>
        <v>29313</v>
      </c>
      <c r="E22" s="21">
        <f>'Annual — Detail'!E94</f>
        <v>39775</v>
      </c>
      <c r="F22" s="21">
        <f>'Annual — Detail'!F94</f>
        <v>43078</v>
      </c>
      <c r="G22" s="21">
        <f>'Annual — Detail'!G94</f>
        <v>51415</v>
      </c>
    </row>
    <row r="23">
      <c r="A23" s="20" t="inlineStr">
        <is>
          <t>Total borrowed</t>
        </is>
      </c>
      <c r="B23" s="21">
        <f>'Annual — Detail'!B56</f>
        <v>4921872</v>
      </c>
      <c r="C23" s="21">
        <f>'Annual — Detail'!C56</f>
        <v>3556244</v>
      </c>
      <c r="D23" s="21">
        <f>'Annual — Detail'!D56</f>
        <v>3989053</v>
      </c>
      <c r="E23" s="21">
        <f>'Annual — Detail'!E56</f>
        <v>3842318</v>
      </c>
      <c r="F23" s="21">
        <f>'Annual — Detail'!F56</f>
        <v>3526558</v>
      </c>
      <c r="G23" s="25">
        <f>'Annual — Detail'!G56</f>
        <v>2516127</v>
      </c>
    </row>
    <row r="24">
      <c r="A24" s="18" t="inlineStr">
        <is>
          <t>Position entering FY2028 (identical across plans)</t>
        </is>
      </c>
      <c r="B24" s="19" t="n"/>
      <c r="C24" s="19" t="n"/>
      <c r="D24" s="19" t="n"/>
      <c r="E24" s="19" t="n"/>
      <c r="F24" s="19" t="n"/>
      <c r="G24" s="19" t="n"/>
    </row>
    <row r="25">
      <c r="A25" s="20" t="inlineStr">
        <is>
          <t>Fund balances carried in</t>
        </is>
      </c>
      <c r="B25" s="21">
        <f>Inputs!$B$17</f>
        <v>341657</v>
      </c>
      <c r="C25" s="21">
        <f>Inputs!$B$17</f>
        <v>341657</v>
      </c>
      <c r="D25" s="21">
        <f>Inputs!$B$17</f>
        <v>341657</v>
      </c>
      <c r="E25" s="21">
        <f>Inputs!$B$17</f>
        <v>341657</v>
      </c>
      <c r="F25" s="21">
        <f>Inputs!$B$17</f>
        <v>341657</v>
      </c>
      <c r="G25" s="21">
        <f>Inputs!$B$17</f>
        <v>341657</v>
      </c>
    </row>
    <row r="26">
      <c r="A26" s="20" t="inlineStr">
        <is>
          <t>Net position entering FY2028</t>
        </is>
      </c>
      <c r="B26" s="21">
        <f>Inputs!$C$25</f>
        <v>-105243</v>
      </c>
      <c r="C26" s="21">
        <f>Inputs!$C$25</f>
        <v>-105243</v>
      </c>
      <c r="D26" s="21">
        <f>Inputs!$C$25</f>
        <v>-105243</v>
      </c>
      <c r="E26" s="21">
        <f>Inputs!$C$25</f>
        <v>-105243</v>
      </c>
      <c r="F26" s="21">
        <f>Inputs!$C$25</f>
        <v>-105243</v>
      </c>
      <c r="G26" s="21">
        <f>Inputs!$C$25</f>
        <v>-105243</v>
      </c>
      <c r="H26" s="6" t="inlineStr">
        <is>
          <t>baseline for true cost</t>
        </is>
      </c>
    </row>
    <row r="27">
      <c r="A27" s="18" t="inlineStr">
        <is>
          <t>Where the town ends up, FY2042</t>
        </is>
      </c>
      <c r="B27" s="19" t="n"/>
      <c r="C27" s="19" t="n"/>
      <c r="D27" s="19" t="n"/>
      <c r="E27" s="19" t="n"/>
      <c r="F27" s="19" t="n"/>
      <c r="G27" s="19" t="n"/>
    </row>
    <row r="28">
      <c r="A28" s="20" t="inlineStr">
        <is>
          <t>Fund balances</t>
        </is>
      </c>
      <c r="B28" s="21">
        <f>'Annual — Detail'!B112</f>
        <v>568189</v>
      </c>
      <c r="C28" s="21">
        <f>'Annual — Detail'!C112</f>
        <v>102494</v>
      </c>
      <c r="D28" s="21">
        <f>'Annual — Detail'!D112</f>
        <v>359246</v>
      </c>
      <c r="E28" s="21">
        <f>'Annual — Detail'!E112</f>
        <v>366490</v>
      </c>
      <c r="F28" s="21">
        <f>'Annual — Detail'!F112</f>
        <v>614517</v>
      </c>
      <c r="G28" s="25">
        <f>'Annual — Detail'!G112</f>
        <v>1265089</v>
      </c>
    </row>
    <row r="29">
      <c r="A29" s="20" t="inlineStr">
        <is>
          <t>Capital debt outstanding</t>
        </is>
      </c>
      <c r="B29" s="21">
        <f>'Annual — Detail'!B130</f>
        <v>645184</v>
      </c>
      <c r="C29" s="21">
        <f>'Annual — Detail'!C130</f>
        <v>93927</v>
      </c>
      <c r="D29" s="21">
        <f>'Annual — Detail'!D130</f>
        <v>369654</v>
      </c>
      <c r="E29" s="21">
        <f>'Annual — Detail'!E130</f>
        <v>354966</v>
      </c>
      <c r="F29" s="21">
        <f>'Annual — Detail'!F130</f>
        <v>220178</v>
      </c>
      <c r="G29" s="25">
        <f>'Annual — Detail'!G130</f>
        <v>0</v>
      </c>
    </row>
    <row r="30">
      <c r="A30" s="20" t="inlineStr">
        <is>
          <t>Net position (owns − owes)</t>
        </is>
      </c>
      <c r="B30" s="21">
        <f>B28-B29</f>
        <v>-76995</v>
      </c>
      <c r="C30" s="21">
        <f>C28-C29</f>
        <v>8567</v>
      </c>
      <c r="D30" s="21">
        <f>D28-D29</f>
        <v>-10408</v>
      </c>
      <c r="E30" s="21">
        <f>E28-E29</f>
        <v>11524</v>
      </c>
      <c r="F30" s="21">
        <f>F28-F29</f>
        <v>394339</v>
      </c>
      <c r="G30" s="25">
        <f>G28-G29</f>
        <v>1265089</v>
      </c>
    </row>
    <row r="31">
      <c r="A31" s="18" t="inlineStr">
        <is>
          <t>True cost</t>
        </is>
      </c>
      <c r="B31" s="19" t="n"/>
      <c r="C31" s="19" t="n"/>
      <c r="D31" s="19" t="n"/>
      <c r="E31" s="19" t="n"/>
      <c r="F31" s="19" t="n"/>
      <c r="G31" s="19" t="n"/>
    </row>
    <row r="32">
      <c r="A32" s="20" t="inlineStr">
        <is>
          <t>Interest due after FY2042 on window debt</t>
        </is>
      </c>
      <c r="B32" s="26" t="n">
        <v>83850</v>
      </c>
      <c r="C32" s="26" t="n">
        <v>8447</v>
      </c>
      <c r="D32" s="26" t="n">
        <v>41007</v>
      </c>
      <c r="E32" s="26" t="n">
        <v>38600</v>
      </c>
      <c r="F32" s="26" t="n">
        <v>24266</v>
      </c>
      <c r="G32" s="27" t="n">
        <v>0</v>
      </c>
      <c r="H32" s="6" t="inlineStr">
        <is>
          <t>engine schedule: notes signed in the window that amortize past it</t>
        </is>
      </c>
    </row>
    <row r="33">
      <c r="A33" s="28" t="inlineStr">
        <is>
          <t>True cost (market basis)</t>
        </is>
      </c>
      <c r="B33" s="17">
        <f>B6-(B30-B26)+B32</f>
        <v>7637750</v>
      </c>
      <c r="C33" s="17">
        <f>C6-(C30-C26)+C32</f>
        <v>7354353</v>
      </c>
      <c r="D33" s="17">
        <f>D6-(D30-D26)+D32</f>
        <v>7452172</v>
      </c>
      <c r="E33" s="17">
        <f>E6-(E30-E26)+E32</f>
        <v>7447833</v>
      </c>
      <c r="F33" s="17">
        <f>F6-(F30-F26)+F32</f>
        <v>7380684</v>
      </c>
      <c r="G33" s="29">
        <f>G6-(G30-G26)+G32</f>
        <v>7130668</v>
      </c>
      <c r="H33" s="6" t="inlineStr">
        <is>
          <t>true cost = levies − (net 2042 − net entering FY2028) + post-window interest — live formula</t>
        </is>
      </c>
    </row>
    <row r="34">
      <c r="A34" s="20" t="inlineStr">
        <is>
          <t>True cost (as-published prices)</t>
        </is>
      </c>
      <c r="B34" s="21">
        <f>'Scenarios'!B8</f>
        <v>6466142</v>
      </c>
      <c r="C34" s="21">
        <f>'Scenarios'!C8</f>
        <v>6171650</v>
      </c>
      <c r="D34" s="21">
        <f>'Scenarios'!D8</f>
        <v>5917723</v>
      </c>
      <c r="E34" s="21">
        <f>'Scenarios'!E8</f>
        <v>5859287</v>
      </c>
      <c r="F34" s="21">
        <f>'Scenarios'!F8</f>
        <v>5856039</v>
      </c>
      <c r="G34" s="25">
        <f>'Scenarios'!G8</f>
        <v>5719231</v>
      </c>
      <c r="H34" s="6" t="inlineStr">
        <is>
          <t>committee sheet prices, for reference (separate engine run)</t>
        </is>
      </c>
    </row>
    <row r="36">
      <c r="A36" s="18" t="inlineStr">
        <is>
          <t>Checks — every cell should read ok; CHECK means an edit broke consistency</t>
        </is>
      </c>
      <c r="B36" s="19" t="n"/>
      <c r="C36" s="19" t="n"/>
      <c r="D36" s="19" t="n"/>
      <c r="E36" s="19" t="n"/>
      <c r="F36" s="19" t="n"/>
      <c r="G36" s="19" t="n"/>
    </row>
    <row r="37">
      <c r="A37" s="20" t="inlineStr">
        <is>
          <t>Levy ties to its uses (debt service + deposits + direct spend)</t>
        </is>
      </c>
      <c t="str" r="B37" s="30">
        <f>IF('Annual — Levy'!B18-'Annual — Detail'!B18-Contributions!$K$18=0,"ok","CHECK")</f>
        <v>ok</v>
      </c>
      <c t="str" r="C37" s="30">
        <f>IF('Annual — Levy'!C18-'Annual — Detail'!C18-Contributions!$K$53=0,"ok","CHECK")</f>
        <v>ok</v>
      </c>
      <c t="str" r="D37" s="30">
        <f>IF('Annual — Levy'!D18-'Annual — Detail'!D18-Contributions!$K$88=0,"ok","CHECK")</f>
        <v>ok</v>
      </c>
      <c t="str" r="E37" s="30">
        <f>IF('Annual — Levy'!E18-'Annual — Detail'!E18-Contributions!$K$123=0,"ok","CHECK")</f>
        <v>ok</v>
      </c>
      <c t="str" r="F37" s="30">
        <f>IF('Annual — Levy'!F18-'Annual — Detail'!F18-Contributions!$K$158=0,"ok","CHECK")</f>
        <v>ok</v>
      </c>
      <c t="str" r="G37" s="30">
        <f>IF('Annual — Levy'!G18-'Annual — Detail'!G18-Contributions!$K$193=0,"ok","CHECK")</f>
        <v>ok</v>
      </c>
    </row>
    <row r="38">
      <c r="A38" s="20" t="inlineStr">
        <is>
          <t>Borrowed ties to the financed articles</t>
        </is>
      </c>
      <c t="str" r="B38" s="30">
        <f>IF('Annual — Detail'!B56=SUMIFS('Ballots &amp; Orders'!$D:$D,'Ballots &amp; Orders'!$F:$F,"P0"),"ok","CHECK")</f>
        <v>ok</v>
      </c>
      <c t="str" r="C38" s="30">
        <f>IF('Annual — Detail'!C56=SUMIFS('Ballots &amp; Orders'!$D:$D,'Ballots &amp; Orders'!$F:$F,"P1"),"ok","CHECK")</f>
        <v>ok</v>
      </c>
      <c t="str" r="D38" s="30">
        <f>IF('Annual — Detail'!D56=SUMIFS('Ballots &amp; Orders'!$D:$D,'Ballots &amp; Orders'!$F:$F,"P2"),"ok","CHECK")</f>
        <v>ok</v>
      </c>
      <c t="str" r="E38" s="30">
        <f>IF('Annual — Detail'!E56=SUMIFS('Ballots &amp; Orders'!$D:$D,'Ballots &amp; Orders'!$F:$F,"P3"),"ok","CHECK")</f>
        <v>ok</v>
      </c>
      <c t="str" r="F38" s="30">
        <f>IF('Annual — Detail'!F56=SUMIFS('Ballots &amp; Orders'!$D:$D,'Ballots &amp; Orders'!$F:$F,"P5"),"ok","CHECK")</f>
        <v>ok</v>
      </c>
      <c t="str" r="G38" s="30">
        <f>IF('Annual — Detail'!G56=SUMIFS('Ballots &amp; Orders'!$D:$D,'Ballots &amp; Orders'!$F:$F,"P4"),"ok","CHECK")</f>
        <v>ok</v>
      </c>
    </row>
    <row r="39">
      <c r="A39" s="20" t="inlineStr">
        <is>
          <t>Debt never goes negative in any year</t>
        </is>
      </c>
      <c t="str" r="B39" s="30">
        <f>IF(MIN('Annual — Detail'!B116:B130)&gt;=0,"ok","CHECK")</f>
        <v>ok</v>
      </c>
      <c t="str" r="C39" s="30">
        <f>IF(MIN('Annual — Detail'!C116:C130)&gt;=0,"ok","CHECK")</f>
        <v>ok</v>
      </c>
      <c t="str" r="D39" s="30">
        <f>IF(MIN('Annual — Detail'!D116:D130)&gt;=0,"ok","CHECK")</f>
        <v>ok</v>
      </c>
      <c t="str" r="E39" s="30">
        <f>IF(MIN('Annual — Detail'!E116:E130)&gt;=0,"ok","CHECK")</f>
        <v>ok</v>
      </c>
      <c t="str" r="F39" s="30">
        <f>IF(MIN('Annual — Detail'!F116:F130)&gt;=0,"ok","CHECK")</f>
        <v>ok</v>
      </c>
      <c t="str" r="G39" s="30">
        <f>IF(MIN('Annual — Detail'!G116:G130)&gt;=0,"ok","CHECK")</f>
        <v>ok</v>
      </c>
    </row>
    <row r="40">
      <c r="A40" s="20" t="inlineStr">
        <is>
          <t>Fund dips stay within the −$15,000 payables tolerance</t>
        </is>
      </c>
      <c t="str" r="B40" s="30">
        <f>IF('Funds by Plan'!$S$18&gt;=-15000,"ok","CHECK")</f>
        <v>ok</v>
      </c>
      <c t="str" r="C40" s="30">
        <f>IF('Funds by Plan'!$S$37&gt;=-15000,"ok","CHECK")</f>
        <v>ok</v>
      </c>
      <c t="str" r="D40" s="30">
        <f>IF('Funds by Plan'!$S$56&gt;=-15000,"ok","CHECK")</f>
        <v>ok</v>
      </c>
      <c t="str" r="E40" s="30">
        <f>IF('Funds by Plan'!$S$75&gt;=-15000,"ok","CHECK")</f>
        <v>ok</v>
      </c>
      <c t="str" r="F40" s="30">
        <f>IF('Funds by Plan'!$S$94&gt;=-15000,"ok","CHECK")</f>
        <v>ok</v>
      </c>
      <c t="str" r="G40" s="30">
        <f>IF('Funds by Plan'!$S$113&gt;=-15000,"ok","CHECK")</f>
        <v>ok</v>
      </c>
    </row>
    <row r="41">
      <c r="A41" s="20" t="inlineStr">
        <is>
          <t>Interest earned ties to the base rate on prior balances</t>
        </is>
      </c>
      <c t="str" r="B41" s="30">
        <f>IF(ABS('Annual — Detail'!B94-Inputs!$B$2*(Inputs!$B$17+SUM('Annual — Detail'!B98:B111)))&lt;=250,"ok","CHECK")</f>
        <v>ok</v>
      </c>
      <c t="str" r="C41" s="30">
        <f>IF(ABS('Annual — Detail'!C94-Inputs!$B$2*(Inputs!$B$17+SUM('Annual — Detail'!C98:C111)))&lt;=250,"ok","CHECK")</f>
        <v>ok</v>
      </c>
      <c t="str" r="D41" s="30">
        <f>IF(ABS('Annual — Detail'!D94-Inputs!$B$2*(Inputs!$B$17+SUM('Annual — Detail'!D98:D111)))&lt;=250,"ok","CHECK")</f>
        <v>ok</v>
      </c>
      <c t="str" r="E41" s="30">
        <f>IF(ABS('Annual — Detail'!E94-Inputs!$B$2*(Inputs!$B$17+SUM('Annual — Detail'!E98:E111)))&lt;=250,"ok","CHECK")</f>
        <v>ok</v>
      </c>
      <c t="str" r="F41" s="30">
        <f>IF(ABS('Annual — Detail'!F94-Inputs!$B$2*(Inputs!$B$17+SUM('Annual — Detail'!F98:F111)))&lt;=250,"ok","CHECK")</f>
        <v>ok</v>
      </c>
      <c t="str" r="G41" s="30">
        <f>IF(ABS('Annual — Detail'!G94-Inputs!$B$2*(Inputs!$B$17+SUM('Annual — Detail'!G98:G111)))&lt;=250,"ok","CHECK")</f>
        <v>ok</v>
      </c>
      <c r="H41" s="6" t="inlineStr">
        <is>
          <t>small differences only from funds briefly below zero, which earn nothing</t>
        </is>
      </c>
    </row>
    <row r="42">
      <c r="A42" s="20" t="inlineStr">
        <is>
          <t>Post-window interest is zero when no debt remains</t>
        </is>
      </c>
      <c t="str" r="B42" s="30">
        <f>IF(OR('Annual — Detail'!B130&gt;0,B32=0),"ok","CHECK")</f>
        <v>ok</v>
      </c>
      <c t="str" r="C42" s="30">
        <f>IF(OR('Annual — Detail'!C130&gt;0,C32=0),"ok","CHECK")</f>
        <v>ok</v>
      </c>
      <c t="str" r="D42" s="30">
        <f>IF(OR('Annual — Detail'!D130&gt;0,D32=0),"ok","CHECK")</f>
        <v>ok</v>
      </c>
      <c t="str" r="E42" s="30">
        <f>IF(OR('Annual — Detail'!E130&gt;0,E32=0),"ok","CHECK")</f>
        <v>ok</v>
      </c>
      <c t="str" r="F42" s="30">
        <f>IF(OR('Annual — Detail'!F130&gt;0,F32=0),"ok","CHECK")</f>
        <v>ok</v>
      </c>
      <c t="str" r="G42" s="30">
        <f>IF(OR('Annual — Detail'!G130&gt;0,G32=0),"ok","CHECK")</f>
        <v>ok</v>
      </c>
    </row>
    <row r="43">
      <c r="A43" s="20" t="inlineStr">
        <is>
          <t>Starting balances tie to the audit</t>
        </is>
      </c>
      <c t="str" r="B43" s="30">
        <f>IF(SUM(Inputs!$B$28:$B$33)=341657,"ok","CHECK")</f>
        <v>ok</v>
      </c>
      <c r="H43" s="6" t="inlineStr">
        <is>
          <t>audited 6/30/2025 total, held as a constant</t>
        </is>
      </c>
    </row>
    <row r="44">
      <c r="A44" s="20" t="inlineStr">
        <is>
          <t>Price inputs match the engine run</t>
        </is>
      </c>
      <c t="str" r="B44" s="30">
        <f>IF(AND(Inputs!$B$7=0.07,Inputs!$B$8=2023,Inputs!$B$9=175000,Inputs!$B$13=0.8),"ok","CHECK")</f>
        <v>ok</v>
      </c>
      <c r="H44" s="6" t="inlineStr">
        <is>
          <t>a CHECK here means locked prices and grants have been re-derived but financed amounts and plan results still price the engine's baseline — regenerate with pipeline.py</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4.xml><?xml version="1.0" encoding="utf-8"?>
<worksheet xmlns="http://schemas.openxmlformats.org/spreadsheetml/2006/main">
  <sheetPr>
    <tabColor rgb="FF1E4D2B"/>
    <outlinePr summaryBelow="1" summaryRight="1"/>
    <pageSetUpPr fitToPage="1"/>
  </sheetPr>
  <dimension ref="A1:G20"/>
  <sheetViews>
    <sheetView workbookViewId="0">
      <pane xSplit="1" ySplit="1" topLeftCell="B2" activePane="bottomRight" state="frozen"/>
      <selection pane="topRight"/>
      <selection pane="bottomLeft"/>
      <selection pane="bottomRight" activeCell="A1" sqref="A1"/>
    </sheetView>
  </sheetViews>
  <sheetFormatPr baseColWidth="8" defaultRowHeight="15"/>
  <cols>
    <col width="46" customWidth="1" min="1" max="1"/>
    <col width="19" customWidth="1" min="2" max="2"/>
    <col width="19" customWidth="1" min="3" max="3"/>
    <col width="19" customWidth="1" min="4" max="4"/>
    <col width="19" customWidth="1" min="5" max="5"/>
    <col width="19" customWidth="1" min="6" max="6"/>
    <col width="19" customWidth="1" min="7" max="7"/>
  </cols>
  <sheetData>
    <row r="1">
      <c r="A1" s="14" t="inlineStr">
        <is>
          <t>Stress tests — true cost (levy schedules held fixed)</t>
        </is>
      </c>
      <c r="B1" s="14" t="inlineStr">
        <is>
          <t>Current practice</t>
        </is>
      </c>
      <c r="C1" s="14" t="inlineStr">
        <is>
          <t>Save $50,000 more a year</t>
        </is>
      </c>
      <c r="D1" s="14" t="inlineStr">
        <is>
          <t>Phased start from $300k (reaches $500k in FY2032)</t>
        </is>
      </c>
      <c r="E1" s="14" t="inlineStr">
        <is>
          <t>Break even by 2042 ($500k/yr)</t>
        </is>
      </c>
      <c r="F1" s="14" t="inlineStr">
        <is>
          <t>Step up to $530k/yr (by FY2030)</t>
        </is>
      </c>
      <c r="G1" s="14" t="inlineStr">
        <is>
          <t>Full pre-funding ($565k/yr)</t>
        </is>
      </c>
    </row>
    <row r="2">
      <c r="A2" s="4" t="inlineStr">
        <is>
          <t>Base case (market prices, 0.7% earnings, grants)</t>
        </is>
      </c>
      <c r="B2" s="17">
        <f>'Summary'!B33</f>
        <v>7637750</v>
      </c>
      <c r="C2" s="17">
        <f>'Summary'!C33</f>
        <v>7354353</v>
      </c>
      <c r="D2" s="17">
        <f>'Summary'!D33</f>
        <v>7452172</v>
      </c>
      <c r="E2" s="17">
        <f>'Summary'!E33</f>
        <v>7447833</v>
      </c>
      <c r="F2" s="17">
        <f>'Summary'!F33</f>
        <v>7380684</v>
      </c>
      <c r="G2" s="29">
        <f>'Summary'!G33</f>
        <v>7130668</v>
      </c>
    </row>
    <row r="3">
      <c r="A3" s="6" t="inlineStr">
        <is>
          <t xml:space="preserve">  end net position</t>
        </is>
      </c>
      <c r="B3" s="21">
        <f>'Summary'!B30</f>
        <v>-76995</v>
      </c>
      <c r="C3" s="21">
        <f>'Summary'!C30</f>
        <v>8567</v>
      </c>
      <c r="D3" s="21">
        <f>'Summary'!D30</f>
        <v>-10408</v>
      </c>
      <c r="E3" s="21">
        <f>'Summary'!E30</f>
        <v>11524</v>
      </c>
      <c r="F3" s="21">
        <f>'Summary'!F30</f>
        <v>394339</v>
      </c>
      <c r="G3" s="21">
        <f>'Summary'!G30</f>
        <v>1265089</v>
      </c>
    </row>
    <row r="5">
      <c r="A5" s="4" t="inlineStr">
        <is>
          <t>Reserves moved to a market-rate account (3.5%)</t>
        </is>
      </c>
      <c r="B5" s="31" t="n">
        <v>7289736</v>
      </c>
      <c r="C5" s="31" t="n">
        <v>7133954</v>
      </c>
      <c r="D5" s="31" t="n">
        <v>7286278</v>
      </c>
      <c r="E5" s="31" t="n">
        <v>7219673</v>
      </c>
      <c r="F5" s="31" t="n">
        <v>7138066</v>
      </c>
      <c r="G5" s="32" t="n">
        <v>6857654</v>
      </c>
    </row>
    <row r="6">
      <c r="A6" s="6" t="inlineStr">
        <is>
          <t xml:space="preserve">  end net position</t>
        </is>
      </c>
      <c r="B6" s="26" t="n">
        <v>266112</v>
      </c>
      <c r="C6" s="26" t="n">
        <v>181976</v>
      </c>
      <c r="D6" s="26" t="n">
        <v>154138</v>
      </c>
      <c r="E6" s="26" t="n">
        <v>237285</v>
      </c>
      <c r="F6" s="26" t="n">
        <v>634421</v>
      </c>
      <c r="G6" s="26" t="n">
        <v>1538103</v>
      </c>
    </row>
    <row r="8">
      <c r="A8" s="4" t="inlineStr">
        <is>
          <t>As-published sheet prices</t>
        </is>
      </c>
      <c r="B8" s="31" t="n">
        <v>6466142</v>
      </c>
      <c r="C8" s="31" t="n">
        <v>6171650</v>
      </c>
      <c r="D8" s="31" t="n">
        <v>5917723</v>
      </c>
      <c r="E8" s="31" t="n">
        <v>5859287</v>
      </c>
      <c r="F8" s="31" t="n">
        <v>5856039</v>
      </c>
      <c r="G8" s="32" t="n">
        <v>5719231</v>
      </c>
    </row>
    <row r="9">
      <c r="A9" s="6" t="inlineStr">
        <is>
          <t xml:space="preserve">  end net position</t>
        </is>
      </c>
      <c r="B9" s="26" t="n">
        <v>-75120</v>
      </c>
      <c r="C9" s="26" t="n">
        <v>-55385</v>
      </c>
      <c r="D9" s="26" t="n">
        <v>1483034</v>
      </c>
      <c r="E9" s="26" t="n">
        <v>1561470</v>
      </c>
      <c r="F9" s="26" t="n">
        <v>1894718</v>
      </c>
      <c r="G9" s="26" t="n">
        <v>2676526</v>
      </c>
    </row>
    <row r="11">
      <c r="A11" s="4" t="inlineStr">
        <is>
          <t>No VTrans grants</t>
        </is>
      </c>
      <c r="B11" s="31" t="n">
        <v>8100308</v>
      </c>
      <c r="C11" s="31" t="n">
        <v>7780216</v>
      </c>
      <c r="D11" s="31" t="n">
        <v>8049280</v>
      </c>
      <c r="E11" s="31" t="n">
        <v>8008157</v>
      </c>
      <c r="F11" s="31" t="n">
        <v>7896016</v>
      </c>
      <c r="G11" s="32" t="n">
        <v>7555585</v>
      </c>
    </row>
    <row r="12">
      <c r="A12" s="6" t="inlineStr">
        <is>
          <t xml:space="preserve">  end net position</t>
        </is>
      </c>
      <c r="B12" s="26" t="n">
        <v>-259722</v>
      </c>
      <c r="C12" s="26" t="n">
        <v>-66592</v>
      </c>
      <c r="D12" s="26" t="n">
        <v>-543726</v>
      </c>
      <c r="E12" s="26" t="n">
        <v>-488023</v>
      </c>
      <c r="F12" s="26" t="n">
        <v>-98764</v>
      </c>
      <c r="G12" s="26" t="n">
        <v>840172</v>
      </c>
    </row>
    <row r="14">
      <c r="A14" s="4" t="inlineStr">
        <is>
          <t>Bond Bank rate at 5.0%</t>
        </is>
      </c>
      <c r="B14" s="31" t="n">
        <v>7849705</v>
      </c>
      <c r="C14" s="31" t="n">
        <v>7519575</v>
      </c>
      <c r="D14" s="31" t="n">
        <v>7758349</v>
      </c>
      <c r="E14" s="31" t="n">
        <v>7728755</v>
      </c>
      <c r="F14" s="31" t="n">
        <v>7640861</v>
      </c>
      <c r="G14" s="32" t="n">
        <v>7281007</v>
      </c>
    </row>
    <row r="15">
      <c r="A15" s="6" t="inlineStr">
        <is>
          <t xml:space="preserve">  end net position</t>
        </is>
      </c>
      <c r="B15" s="26" t="n">
        <v>-83355</v>
      </c>
      <c r="C15" s="26" t="n">
        <v>8568</v>
      </c>
      <c r="D15" s="26" t="n">
        <v>-293149</v>
      </c>
      <c r="E15" s="26" t="n">
        <v>-245468</v>
      </c>
      <c r="F15" s="26" t="n">
        <v>150383</v>
      </c>
      <c r="G15" s="26" t="n">
        <v>1114750</v>
      </c>
    </row>
    <row r="17">
      <c r="A17" s="4" t="inlineStr">
        <is>
          <t>Single consolidated bond (12-yr drawdown)</t>
        </is>
      </c>
      <c r="B17" s="31" t="n">
        <v>7614082</v>
      </c>
      <c r="C17" s="31" t="n">
        <v>7354353</v>
      </c>
      <c r="D17" s="31" t="n">
        <v>7650653</v>
      </c>
      <c r="E17" s="31" t="n">
        <v>7592899</v>
      </c>
      <c r="F17" s="31" t="n">
        <v>7536695</v>
      </c>
      <c r="G17" s="32" t="n">
        <v>7130668</v>
      </c>
    </row>
    <row r="18">
      <c r="A18" s="6" t="inlineStr">
        <is>
          <t xml:space="preserve">  end net position</t>
        </is>
      </c>
      <c r="B18" s="26" t="n">
        <v>160337</v>
      </c>
      <c r="C18" s="26" t="n">
        <v>8567</v>
      </c>
      <c r="D18" s="26" t="n">
        <v>-209041</v>
      </c>
      <c r="E18" s="26" t="n">
        <v>-145863</v>
      </c>
      <c r="F18" s="26" t="n">
        <v>235521</v>
      </c>
      <c r="G18" s="26" t="n">
        <v>1265089</v>
      </c>
    </row>
    <row r="20">
      <c r="A20" s="6" t="inlineStr">
        <is>
          <t>Engine outputs (each scenario is a separate simulation run); regenerate with pipeline.py.</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5.xml><?xml version="1.0" encoding="utf-8"?>
<worksheet xmlns="http://schemas.openxmlformats.org/spreadsheetml/2006/main">
  <sheetPr>
    <tabColor rgb="FF1E4D2B"/>
    <outlinePr summaryBelow="1" summaryRight="1"/>
    <pageSetUpPr fitToPage="1"/>
  </sheetPr>
  <dimension ref="A1:F14"/>
  <sheetViews>
    <sheetView workbookViewId="0">
      <pane ySplit="1" topLeftCell="A2" activePane="bottomLeft" state="frozen"/>
      <selection pane="bottomLeft" activeCell="A1" sqref="A1"/>
    </sheetView>
  </sheetViews>
  <sheetFormatPr baseColWidth="8" defaultRowHeight="15"/>
  <cols>
    <col width="26" customWidth="1" min="1" max="1"/>
    <col width="20" customWidth="1" min="2" max="2"/>
    <col width="16" customWidth="1" min="3" max="3"/>
    <col width="16" customWidth="1" min="4" max="4"/>
    <col width="18" customWidth="1" min="5" max="5"/>
    <col width="34" customWidth="1" min="6" max="6"/>
  </cols>
  <sheetData>
    <row r="1">
      <c r="A1" s="14" t="inlineStr">
        <is>
          <t>Steady annual capital budget</t>
        </is>
      </c>
      <c r="B1" s="14" t="inlineStr">
        <is>
          <t>Borrowed over 15 yrs</t>
        </is>
      </c>
      <c r="C1" s="14" t="inlineStr">
        <is>
          <t>Interest paid</t>
        </is>
      </c>
      <c r="D1" s="14" t="inlineStr">
        <is>
          <t>True cost</t>
        </is>
      </c>
      <c r="E1" s="14" t="inlineStr">
        <is>
          <t>Owns − owes, 2042</t>
        </is>
      </c>
      <c r="F1" s="14" t="inlineStr">
        <is>
          <t>Note</t>
        </is>
      </c>
    </row>
    <row r="2">
      <c r="A2" s="26" t="n">
        <v>450000</v>
      </c>
      <c r="B2" s="26" t="n">
        <v>5130892</v>
      </c>
      <c r="C2" s="26" t="n">
        <v>1123623</v>
      </c>
      <c r="D2" s="31" t="n">
        <v>7688390</v>
      </c>
      <c r="E2" s="26" t="n">
        <v>-919044</v>
      </c>
      <c r="F2" s="6" t="inlineStr">
        <is>
          <t>too low — a fund runs dry mid-plan</t>
        </is>
      </c>
    </row>
    <row r="3">
      <c r="A3" s="26" t="n">
        <v>475000</v>
      </c>
      <c r="B3" s="26" t="n">
        <v>4733200</v>
      </c>
      <c r="C3" s="26" t="n">
        <v>1067888</v>
      </c>
      <c r="D3" s="31" t="n">
        <v>7612843</v>
      </c>
      <c r="E3" s="26" t="n">
        <v>-487823</v>
      </c>
      <c r="F3" s="6" t="inlineStr">
        <is>
          <t>too low — a fund runs dry mid-plan</t>
        </is>
      </c>
    </row>
    <row r="4">
      <c r="A4" s="21" t="n">
        <v>500000</v>
      </c>
      <c r="B4" s="21">
        <f>'Annual — Detail'!E56</f>
        <v>3842318</v>
      </c>
      <c r="C4" s="21">
        <f>'Annual — Detail'!E75</f>
        <v>947385</v>
      </c>
      <c r="D4" s="17">
        <f>'Summary'!E33</f>
        <v>7447833</v>
      </c>
      <c r="E4" s="21">
        <f>'Summary'!E30</f>
        <v>11524</v>
      </c>
      <c r="F4" s="6" t="inlineStr">
        <is>
          <t>live: the break-even plan itself</t>
        </is>
      </c>
    </row>
    <row r="5">
      <c r="A5" s="26" t="n">
        <v>525000</v>
      </c>
      <c r="B5" s="26" t="n">
        <v>3306382</v>
      </c>
      <c r="C5" s="26" t="n">
        <v>839031</v>
      </c>
      <c r="D5" s="31" t="n">
        <v>7308003</v>
      </c>
      <c r="E5" s="26" t="n">
        <v>498192</v>
      </c>
    </row>
    <row r="6">
      <c r="A6" s="26" t="n">
        <v>550000</v>
      </c>
      <c r="B6" s="26" t="n">
        <v>2569771</v>
      </c>
      <c r="C6" s="26" t="n">
        <v>728019</v>
      </c>
      <c r="D6" s="31" t="n">
        <v>7180372</v>
      </c>
      <c r="E6" s="26" t="n">
        <v>990385</v>
      </c>
    </row>
    <row r="7">
      <c r="A7" s="26" t="n">
        <v>575000</v>
      </c>
      <c r="B7" s="26" t="n">
        <v>2159561</v>
      </c>
      <c r="C7" s="26" t="n">
        <v>627255</v>
      </c>
      <c r="D7" s="31" t="n">
        <v>7072864</v>
      </c>
      <c r="E7" s="26" t="n">
        <v>1472893</v>
      </c>
    </row>
    <row r="8">
      <c r="A8" s="26" t="n">
        <v>600000</v>
      </c>
      <c r="B8" s="26" t="n">
        <v>2014457</v>
      </c>
      <c r="C8" s="26" t="n">
        <v>598871</v>
      </c>
      <c r="D8" s="31" t="n">
        <v>7028416</v>
      </c>
      <c r="E8" s="26" t="n">
        <v>1892341</v>
      </c>
    </row>
    <row r="9">
      <c r="A9" s="26" t="n">
        <v>625000</v>
      </c>
      <c r="B9" s="26" t="n">
        <v>1869354</v>
      </c>
      <c r="C9" s="26" t="n">
        <v>570482</v>
      </c>
      <c r="D9" s="31" t="n">
        <v>6983860</v>
      </c>
      <c r="E9" s="26" t="n">
        <v>2311897</v>
      </c>
    </row>
    <row r="10">
      <c r="A10" s="26" t="n">
        <v>650000</v>
      </c>
      <c r="B10" s="26" t="n">
        <v>1726600</v>
      </c>
      <c r="C10" s="26" t="n">
        <v>540387</v>
      </c>
      <c r="D10" s="31" t="n">
        <v>6937938</v>
      </c>
      <c r="E10" s="26" t="n">
        <v>2732819</v>
      </c>
    </row>
    <row r="11">
      <c r="A11" s="26" t="n">
        <v>675000</v>
      </c>
      <c r="B11" s="26" t="n">
        <v>1580367</v>
      </c>
      <c r="C11" s="26" t="n">
        <v>508678</v>
      </c>
      <c r="D11" s="31" t="n">
        <v>6890524</v>
      </c>
      <c r="E11" s="26" t="n">
        <v>3155233</v>
      </c>
    </row>
    <row r="12">
      <c r="A12" s="26" t="n">
        <v>700000</v>
      </c>
      <c r="B12" s="26" t="n">
        <v>1466707</v>
      </c>
      <c r="C12" s="26" t="n">
        <v>479228</v>
      </c>
      <c r="D12" s="32" t="n">
        <v>6845675</v>
      </c>
      <c r="E12" s="26" t="n">
        <v>3575082</v>
      </c>
    </row>
    <row r="14">
      <c r="A14" s="6" t="inlineStr">
        <is>
          <t>Same structure as the break-even plan; only the size of the budget changes. Each dollar not raised is borrowed at 4% or more while reserves earn 0.7%. Engine outputs (one simulation per row); regenerate with pipeline.py.</t>
        </is>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6.xml><?xml version="1.0" encoding="utf-8"?>
<worksheet xmlns="http://schemas.openxmlformats.org/spreadsheetml/2006/main">
  <sheetPr>
    <tabColor rgb="FF1F4E9E"/>
    <outlinePr summaryBelow="1" summaryRight="1"/>
    <pageSetUpPr fitToPage="1"/>
  </sheetPr>
  <dimension ref="A1:J40"/>
  <sheetViews>
    <sheetView workbookViewId="0">
      <selection activeCell="A1" sqref="A1"/>
    </sheetView>
  </sheetViews>
  <sheetFormatPr baseColWidth="8" defaultRowHeight="15"/>
  <cols>
    <col width="34" customWidth="1" min="1" max="1"/>
    <col width="11" customWidth="1" min="2" max="2"/>
    <col width="14" customWidth="1" min="3" max="3"/>
    <col width="11" customWidth="1" min="4" max="4"/>
    <col width="15" customWidth="1" min="5" max="5"/>
    <col width="17" customWidth="1" min="6" max="6"/>
    <col width="17" customWidth="1" min="7" max="7"/>
    <col width="16" customWidth="1" min="8" max="8"/>
    <col width="17" customWidth="1" min="9" max="9"/>
    <col width="15" customWidth="1" min="10" max="10"/>
  </cols>
  <sheetData>
    <row r="1">
      <c r="A1" s="4" t="inlineStr">
        <is>
          <t>What-if: add new capital expenses (approximation)</t>
        </is>
      </c>
    </row>
    <row r="2" ht="66" customHeight="1">
      <c r="B2" s="33" t="inlineStr">
        <is>
          <t>Enter up to five new expenses in the blue cells: the fiscal year the money is committed (2028–2042), the price, and the financing — a debt rate and term for a borrowed purchase, or term 0 for cash in the event year. Convention matches the town's notes: level principal, first payment the fiscal year after the event year. This is an additive approximation — the expense funds itself through its own levy line; bonds are not re-bundled, contributions are not re-steered, grants are not applied, and fund solvency is not checked. In an engine cross-check (a $400,000 project financed over 12 years), the approximation landed about 10% below the fully simulated cost. For decisions, add the item to data/cip/adjustments.csv and re-run the engine.</t>
        </is>
      </c>
    </row>
    <row r="4">
      <c r="A4" s="14" t="inlineStr">
        <is>
          <t>New expense</t>
        </is>
      </c>
      <c r="B4" s="14" t="inlineStr">
        <is>
          <t>Event FY</t>
        </is>
      </c>
      <c r="C4" s="14" t="inlineStr">
        <is>
          <t>Price</t>
        </is>
      </c>
      <c r="D4" s="14" t="inlineStr">
        <is>
          <t>Debt rate</t>
        </is>
      </c>
      <c r="E4" s="14" t="inlineStr">
        <is>
          <t>Term (yrs; 0 = cash)</t>
        </is>
      </c>
      <c r="F4" s="14" t="inlineStr">
        <is>
          <t>Principal paid in window</t>
        </is>
      </c>
      <c r="G4" s="14" t="inlineStr">
        <is>
          <t>Interest paid in window</t>
        </is>
      </c>
      <c r="H4" s="14" t="inlineStr">
        <is>
          <t>Balance at FY2042</t>
        </is>
      </c>
      <c r="I4" s="14" t="inlineStr">
        <is>
          <t>Interest due after FY2042</t>
        </is>
      </c>
      <c r="J4" s="14" t="inlineStr">
        <is>
          <t>Added true cost</t>
        </is>
      </c>
    </row>
    <row r="5">
      <c r="A5" s="34" t="n"/>
      <c r="B5" s="35" t="n"/>
      <c r="C5" s="36" t="n"/>
      <c r="D5" s="37" t="n"/>
      <c r="E5" s="38" t="n"/>
      <c r="F5" s="21">
        <f>IF(OR($C5="",$C5=0,$B5&lt;Inputs!$B$15,$B5&gt;Inputs!$B$16),0,IF($E5=0,$C5,ROUND($C5/$E5*MAX(0,MIN($E5,Inputs!$B$16-$B5)),0)))</f>
        <v>0</v>
      </c>
      <c r="G5" s="21">
        <f>IF(OR($C5="",$C5=0,$B5&lt;Inputs!$B$15,$B5&gt;Inputs!$B$16,$E5=0),0,ROUND($D5*$C5*MAX(0,MIN($E5,Inputs!$B$16-$B5))-$D5*$C5/$E5*(MAX(0,MIN($E5,Inputs!$B$16-$B5))*(MAX(0,MIN($E5,Inputs!$B$16-$B5))-1)/2),0))</f>
        <v>0</v>
      </c>
      <c r="H5" s="21">
        <f>IF(OR($C5="",$C5=0,$B5&lt;Inputs!$B$15,$B5&gt;Inputs!$B$16,$E5=0),0,$C5-F5)</f>
        <v>0</v>
      </c>
      <c r="I5" s="21">
        <f>IF(OR($C5="",$C5=0,$B5&lt;Inputs!$B$15,$B5&gt;Inputs!$B$16,$E5=0),0,ROUND($D5*($H5*MAX(0,$E5-MAX(0,MIN($E5,Inputs!$B$16-$B5)))-$C5/$E5*(MAX(0,$E5-MAX(0,MIN($E5,Inputs!$B$16-$B5)))*(MAX(0,$E5-MAX(0,MIN($E5,Inputs!$B$16-$B5)))-1)/2)),0))</f>
        <v>0</v>
      </c>
      <c r="J5" s="21">
        <f>F5+G5+H5+I5</f>
        <v>0</v>
      </c>
    </row>
    <row r="6">
      <c r="A6" s="34" t="n"/>
      <c r="B6" s="35" t="n"/>
      <c r="C6" s="36" t="n"/>
      <c r="D6" s="37" t="n"/>
      <c r="E6" s="38" t="n"/>
      <c r="F6" s="21">
        <f>IF(OR($C6="",$C6=0,$B6&lt;Inputs!$B$15,$B6&gt;Inputs!$B$16),0,IF($E6=0,$C6,ROUND($C6/$E6*MAX(0,MIN($E6,Inputs!$B$16-$B6)),0)))</f>
        <v>0</v>
      </c>
      <c r="G6" s="21">
        <f>IF(OR($C6="",$C6=0,$B6&lt;Inputs!$B$15,$B6&gt;Inputs!$B$16,$E6=0),0,ROUND($D6*$C6*MAX(0,MIN($E6,Inputs!$B$16-$B6))-$D6*$C6/$E6*(MAX(0,MIN($E6,Inputs!$B$16-$B6))*(MAX(0,MIN($E6,Inputs!$B$16-$B6))-1)/2),0))</f>
        <v>0</v>
      </c>
      <c r="H6" s="21">
        <f>IF(OR($C6="",$C6=0,$B6&lt;Inputs!$B$15,$B6&gt;Inputs!$B$16,$E6=0),0,$C6-F6)</f>
        <v>0</v>
      </c>
      <c r="I6" s="21">
        <f>IF(OR($C6="",$C6=0,$B6&lt;Inputs!$B$15,$B6&gt;Inputs!$B$16,$E6=0),0,ROUND($D6*($H6*MAX(0,$E6-MAX(0,MIN($E6,Inputs!$B$16-$B6)))-$C6/$E6*(MAX(0,$E6-MAX(0,MIN($E6,Inputs!$B$16-$B6)))*(MAX(0,$E6-MAX(0,MIN($E6,Inputs!$B$16-$B6)))-1)/2)),0))</f>
        <v>0</v>
      </c>
      <c r="J6" s="21">
        <f>F6+G6+H6+I6</f>
        <v>0</v>
      </c>
    </row>
    <row r="7">
      <c r="A7" s="34" t="n"/>
      <c r="B7" s="35" t="n"/>
      <c r="C7" s="36" t="n"/>
      <c r="D7" s="37" t="n"/>
      <c r="E7" s="38" t="n"/>
      <c r="F7" s="21">
        <f>IF(OR($C7="",$C7=0,$B7&lt;Inputs!$B$15,$B7&gt;Inputs!$B$16),0,IF($E7=0,$C7,ROUND($C7/$E7*MAX(0,MIN($E7,Inputs!$B$16-$B7)),0)))</f>
        <v>0</v>
      </c>
      <c r="G7" s="21">
        <f>IF(OR($C7="",$C7=0,$B7&lt;Inputs!$B$15,$B7&gt;Inputs!$B$16,$E7=0),0,ROUND($D7*$C7*MAX(0,MIN($E7,Inputs!$B$16-$B7))-$D7*$C7/$E7*(MAX(0,MIN($E7,Inputs!$B$16-$B7))*(MAX(0,MIN($E7,Inputs!$B$16-$B7))-1)/2),0))</f>
        <v>0</v>
      </c>
      <c r="H7" s="21">
        <f>IF(OR($C7="",$C7=0,$B7&lt;Inputs!$B$15,$B7&gt;Inputs!$B$16,$E7=0),0,$C7-F7)</f>
        <v>0</v>
      </c>
      <c r="I7" s="21">
        <f>IF(OR($C7="",$C7=0,$B7&lt;Inputs!$B$15,$B7&gt;Inputs!$B$16,$E7=0),0,ROUND($D7*($H7*MAX(0,$E7-MAX(0,MIN($E7,Inputs!$B$16-$B7)))-$C7/$E7*(MAX(0,$E7-MAX(0,MIN($E7,Inputs!$B$16-$B7)))*(MAX(0,$E7-MAX(0,MIN($E7,Inputs!$B$16-$B7)))-1)/2)),0))</f>
        <v>0</v>
      </c>
      <c r="J7" s="21">
        <f>F7+G7+H7+I7</f>
        <v>0</v>
      </c>
    </row>
    <row r="8">
      <c r="A8" s="34" t="n"/>
      <c r="B8" s="35" t="n"/>
      <c r="C8" s="36" t="n"/>
      <c r="D8" s="37" t="n"/>
      <c r="E8" s="38" t="n"/>
      <c r="F8" s="21">
        <f>IF(OR($C8="",$C8=0,$B8&lt;Inputs!$B$15,$B8&gt;Inputs!$B$16),0,IF($E8=0,$C8,ROUND($C8/$E8*MAX(0,MIN($E8,Inputs!$B$16-$B8)),0)))</f>
        <v>0</v>
      </c>
      <c r="G8" s="21">
        <f>IF(OR($C8="",$C8=0,$B8&lt;Inputs!$B$15,$B8&gt;Inputs!$B$16,$E8=0),0,ROUND($D8*$C8*MAX(0,MIN($E8,Inputs!$B$16-$B8))-$D8*$C8/$E8*(MAX(0,MIN($E8,Inputs!$B$16-$B8))*(MAX(0,MIN($E8,Inputs!$B$16-$B8))-1)/2),0))</f>
        <v>0</v>
      </c>
      <c r="H8" s="21">
        <f>IF(OR($C8="",$C8=0,$B8&lt;Inputs!$B$15,$B8&gt;Inputs!$B$16,$E8=0),0,$C8-F8)</f>
        <v>0</v>
      </c>
      <c r="I8" s="21">
        <f>IF(OR($C8="",$C8=0,$B8&lt;Inputs!$B$15,$B8&gt;Inputs!$B$16,$E8=0),0,ROUND($D8*($H8*MAX(0,$E8-MAX(0,MIN($E8,Inputs!$B$16-$B8)))-$C8/$E8*(MAX(0,$E8-MAX(0,MIN($E8,Inputs!$B$16-$B8)))*(MAX(0,$E8-MAX(0,MIN($E8,Inputs!$B$16-$B8)))-1)/2)),0))</f>
        <v>0</v>
      </c>
      <c r="J8" s="21">
        <f>F8+G8+H8+I8</f>
        <v>0</v>
      </c>
    </row>
    <row r="9">
      <c r="A9" s="34" t="n"/>
      <c r="B9" s="35" t="n"/>
      <c r="C9" s="36" t="n"/>
      <c r="D9" s="37" t="n"/>
      <c r="E9" s="38" t="n"/>
      <c r="F9" s="21">
        <f>IF(OR($C9="",$C9=0,$B9&lt;Inputs!$B$15,$B9&gt;Inputs!$B$16),0,IF($E9=0,$C9,ROUND($C9/$E9*MAX(0,MIN($E9,Inputs!$B$16-$B9)),0)))</f>
        <v>0</v>
      </c>
      <c r="G9" s="21">
        <f>IF(OR($C9="",$C9=0,$B9&lt;Inputs!$B$15,$B9&gt;Inputs!$B$16,$E9=0),0,ROUND($D9*$C9*MAX(0,MIN($E9,Inputs!$B$16-$B9))-$D9*$C9/$E9*(MAX(0,MIN($E9,Inputs!$B$16-$B9))*(MAX(0,MIN($E9,Inputs!$B$16-$B9))-1)/2),0))</f>
        <v>0</v>
      </c>
      <c r="H9" s="21">
        <f>IF(OR($C9="",$C9=0,$B9&lt;Inputs!$B$15,$B9&gt;Inputs!$B$16,$E9=0),0,$C9-F9)</f>
        <v>0</v>
      </c>
      <c r="I9" s="21">
        <f>IF(OR($C9="",$C9=0,$B9&lt;Inputs!$B$15,$B9&gt;Inputs!$B$16,$E9=0),0,ROUND($D9*($H9*MAX(0,$E9-MAX(0,MIN($E9,Inputs!$B$16-$B9)))-$C9/$E9*(MAX(0,$E9-MAX(0,MIN($E9,Inputs!$B$16-$B9)))*(MAX(0,$E9-MAX(0,MIN($E9,Inputs!$B$16-$B9)))-1)/2)),0))</f>
        <v>0</v>
      </c>
      <c r="J9" s="21">
        <f>F9+G9+H9+I9</f>
        <v>0</v>
      </c>
    </row>
    <row r="10">
      <c r="A10" s="16" t="inlineStr">
        <is>
          <t>Total</t>
        </is>
      </c>
      <c r="F10" s="17">
        <f>SUM(F5:F9)</f>
        <v>0</v>
      </c>
      <c r="G10" s="17">
        <f>SUM(G5:G9)</f>
        <v>0</v>
      </c>
      <c r="H10" s="17">
        <f>SUM(H5:H9)</f>
        <v>0</v>
      </c>
      <c r="I10" s="17">
        <f>SUM(I5:I9)</f>
        <v>0</v>
      </c>
      <c r="J10" s="17">
        <f>SUM(J5:J9)</f>
        <v>0</v>
      </c>
    </row>
    <row r="12">
      <c r="A12" s="4" t="inlineStr">
        <is>
          <t>Added cost by fiscal year (add to any plan's capital budget)</t>
        </is>
      </c>
    </row>
    <row r="13">
      <c r="A13" s="14" t="inlineStr">
        <is>
          <t>Fiscal year</t>
        </is>
      </c>
      <c r="B13" s="14" t="inlineStr">
        <is>
          <t>Expense 1</t>
        </is>
      </c>
      <c r="C13" s="14" t="inlineStr">
        <is>
          <t>Expense 2</t>
        </is>
      </c>
      <c r="D13" s="14" t="inlineStr">
        <is>
          <t>Expense 3</t>
        </is>
      </c>
      <c r="E13" s="14" t="inlineStr">
        <is>
          <t>Expense 4</t>
        </is>
      </c>
      <c r="F13" s="14" t="inlineStr">
        <is>
          <t>Expense 5</t>
        </is>
      </c>
      <c r="G13" s="14" t="inlineStr">
        <is>
          <t>Total added</t>
        </is>
      </c>
    </row>
    <row r="14">
      <c r="A14" s="39">
        <f>Inputs!$B$15</f>
        <v>2028</v>
      </c>
      <c r="B14" s="21">
        <f>IF(OR($C$5="",$C$5=0),0,IF($E$5=0,IF($A14=$B$5,$C$5,0),IF(AND($A14&gt;$B$5,$A14&lt;=$B$5+$E$5),ROUND($C$5/$E$5+$D$5*($C$5-($A14-$B$5-1)*$C$5/$E$5),0),0)))</f>
        <v>0</v>
      </c>
      <c r="C14" s="21">
        <f>IF(OR($C$6="",$C$6=0),0,IF($E$6=0,IF($A14=$B$6,$C$6,0),IF(AND($A14&gt;$B$6,$A14&lt;=$B$6+$E$6),ROUND($C$6/$E$6+$D$6*($C$6-($A14-$B$6-1)*$C$6/$E$6),0),0)))</f>
        <v>0</v>
      </c>
      <c r="D14" s="21">
        <f>IF(OR($C$7="",$C$7=0),0,IF($E$7=0,IF($A14=$B$7,$C$7,0),IF(AND($A14&gt;$B$7,$A14&lt;=$B$7+$E$7),ROUND($C$7/$E$7+$D$7*($C$7-($A14-$B$7-1)*$C$7/$E$7),0),0)))</f>
        <v>0</v>
      </c>
      <c r="E14" s="21">
        <f>IF(OR($C$8="",$C$8=0),0,IF($E$8=0,IF($A14=$B$8,$C$8,0),IF(AND($A14&gt;$B$8,$A14&lt;=$B$8+$E$8),ROUND($C$8/$E$8+$D$8*($C$8-($A14-$B$8-1)*$C$8/$E$8),0),0)))</f>
        <v>0</v>
      </c>
      <c r="F14" s="21">
        <f>IF(OR($C$9="",$C$9=0),0,IF($E$9=0,IF($A14=$B$9,$C$9,0),IF(AND($A14&gt;$B$9,$A14&lt;=$B$9+$E$9),ROUND($C$9/$E$9+$D$9*($C$9-($A14-$B$9-1)*$C$9/$E$9),0),0)))</f>
        <v>0</v>
      </c>
      <c r="G14" s="17">
        <f>SUM(B14:F14)</f>
        <v>0</v>
      </c>
    </row>
    <row r="15">
      <c r="A15" s="39">
        <f>A14+1</f>
        <v>2029</v>
      </c>
      <c r="B15" s="21">
        <f>IF(OR($C$5="",$C$5=0),0,IF($E$5=0,IF($A15=$B$5,$C$5,0),IF(AND($A15&gt;$B$5,$A15&lt;=$B$5+$E$5),ROUND($C$5/$E$5+$D$5*($C$5-($A15-$B$5-1)*$C$5/$E$5),0),0)))</f>
        <v>0</v>
      </c>
      <c r="C15" s="21">
        <f>IF(OR($C$6="",$C$6=0),0,IF($E$6=0,IF($A15=$B$6,$C$6,0),IF(AND($A15&gt;$B$6,$A15&lt;=$B$6+$E$6),ROUND($C$6/$E$6+$D$6*($C$6-($A15-$B$6-1)*$C$6/$E$6),0),0)))</f>
        <v>0</v>
      </c>
      <c r="D15" s="21">
        <f>IF(OR($C$7="",$C$7=0),0,IF($E$7=0,IF($A15=$B$7,$C$7,0),IF(AND($A15&gt;$B$7,$A15&lt;=$B$7+$E$7),ROUND($C$7/$E$7+$D$7*($C$7-($A15-$B$7-1)*$C$7/$E$7),0),0)))</f>
        <v>0</v>
      </c>
      <c r="E15" s="21">
        <f>IF(OR($C$8="",$C$8=0),0,IF($E$8=0,IF($A15=$B$8,$C$8,0),IF(AND($A15&gt;$B$8,$A15&lt;=$B$8+$E$8),ROUND($C$8/$E$8+$D$8*($C$8-($A15-$B$8-1)*$C$8/$E$8),0),0)))</f>
        <v>0</v>
      </c>
      <c r="F15" s="21">
        <f>IF(OR($C$9="",$C$9=0),0,IF($E$9=0,IF($A15=$B$9,$C$9,0),IF(AND($A15&gt;$B$9,$A15&lt;=$B$9+$E$9),ROUND($C$9/$E$9+$D$9*($C$9-($A15-$B$9-1)*$C$9/$E$9),0),0)))</f>
        <v>0</v>
      </c>
      <c r="G15" s="17">
        <f>SUM(B15:F15)</f>
        <v>0</v>
      </c>
    </row>
    <row r="16">
      <c r="A16" s="39">
        <f>A15+1</f>
        <v>2030</v>
      </c>
      <c r="B16" s="21">
        <f>IF(OR($C$5="",$C$5=0),0,IF($E$5=0,IF($A16=$B$5,$C$5,0),IF(AND($A16&gt;$B$5,$A16&lt;=$B$5+$E$5),ROUND($C$5/$E$5+$D$5*($C$5-($A16-$B$5-1)*$C$5/$E$5),0),0)))</f>
        <v>0</v>
      </c>
      <c r="C16" s="21">
        <f>IF(OR($C$6="",$C$6=0),0,IF($E$6=0,IF($A16=$B$6,$C$6,0),IF(AND($A16&gt;$B$6,$A16&lt;=$B$6+$E$6),ROUND($C$6/$E$6+$D$6*($C$6-($A16-$B$6-1)*$C$6/$E$6),0),0)))</f>
        <v>0</v>
      </c>
      <c r="D16" s="21">
        <f>IF(OR($C$7="",$C$7=0),0,IF($E$7=0,IF($A16=$B$7,$C$7,0),IF(AND($A16&gt;$B$7,$A16&lt;=$B$7+$E$7),ROUND($C$7/$E$7+$D$7*($C$7-($A16-$B$7-1)*$C$7/$E$7),0),0)))</f>
        <v>0</v>
      </c>
      <c r="E16" s="21">
        <f>IF(OR($C$8="",$C$8=0),0,IF($E$8=0,IF($A16=$B$8,$C$8,0),IF(AND($A16&gt;$B$8,$A16&lt;=$B$8+$E$8),ROUND($C$8/$E$8+$D$8*($C$8-($A16-$B$8-1)*$C$8/$E$8),0),0)))</f>
        <v>0</v>
      </c>
      <c r="F16" s="21">
        <f>IF(OR($C$9="",$C$9=0),0,IF($E$9=0,IF($A16=$B$9,$C$9,0),IF(AND($A16&gt;$B$9,$A16&lt;=$B$9+$E$9),ROUND($C$9/$E$9+$D$9*($C$9-($A16-$B$9-1)*$C$9/$E$9),0),0)))</f>
        <v>0</v>
      </c>
      <c r="G16" s="17">
        <f>SUM(B16:F16)</f>
        <v>0</v>
      </c>
    </row>
    <row r="17">
      <c r="A17" s="39">
        <f>A16+1</f>
        <v>2031</v>
      </c>
      <c r="B17" s="21">
        <f>IF(OR($C$5="",$C$5=0),0,IF($E$5=0,IF($A17=$B$5,$C$5,0),IF(AND($A17&gt;$B$5,$A17&lt;=$B$5+$E$5),ROUND($C$5/$E$5+$D$5*($C$5-($A17-$B$5-1)*$C$5/$E$5),0),0)))</f>
        <v>0</v>
      </c>
      <c r="C17" s="21">
        <f>IF(OR($C$6="",$C$6=0),0,IF($E$6=0,IF($A17=$B$6,$C$6,0),IF(AND($A17&gt;$B$6,$A17&lt;=$B$6+$E$6),ROUND($C$6/$E$6+$D$6*($C$6-($A17-$B$6-1)*$C$6/$E$6),0),0)))</f>
        <v>0</v>
      </c>
      <c r="D17" s="21">
        <f>IF(OR($C$7="",$C$7=0),0,IF($E$7=0,IF($A17=$B$7,$C$7,0),IF(AND($A17&gt;$B$7,$A17&lt;=$B$7+$E$7),ROUND($C$7/$E$7+$D$7*($C$7-($A17-$B$7-1)*$C$7/$E$7),0),0)))</f>
        <v>0</v>
      </c>
      <c r="E17" s="21">
        <f>IF(OR($C$8="",$C$8=0),0,IF($E$8=0,IF($A17=$B$8,$C$8,0),IF(AND($A17&gt;$B$8,$A17&lt;=$B$8+$E$8),ROUND($C$8/$E$8+$D$8*($C$8-($A17-$B$8-1)*$C$8/$E$8),0),0)))</f>
        <v>0</v>
      </c>
      <c r="F17" s="21">
        <f>IF(OR($C$9="",$C$9=0),0,IF($E$9=0,IF($A17=$B$9,$C$9,0),IF(AND($A17&gt;$B$9,$A17&lt;=$B$9+$E$9),ROUND($C$9/$E$9+$D$9*($C$9-($A17-$B$9-1)*$C$9/$E$9),0),0)))</f>
        <v>0</v>
      </c>
      <c r="G17" s="17">
        <f>SUM(B17:F17)</f>
        <v>0</v>
      </c>
    </row>
    <row r="18">
      <c r="A18" s="39">
        <f>A17+1</f>
        <v>2032</v>
      </c>
      <c r="B18" s="21">
        <f>IF(OR($C$5="",$C$5=0),0,IF($E$5=0,IF($A18=$B$5,$C$5,0),IF(AND($A18&gt;$B$5,$A18&lt;=$B$5+$E$5),ROUND($C$5/$E$5+$D$5*($C$5-($A18-$B$5-1)*$C$5/$E$5),0),0)))</f>
        <v>0</v>
      </c>
      <c r="C18" s="21">
        <f>IF(OR($C$6="",$C$6=0),0,IF($E$6=0,IF($A18=$B$6,$C$6,0),IF(AND($A18&gt;$B$6,$A18&lt;=$B$6+$E$6),ROUND($C$6/$E$6+$D$6*($C$6-($A18-$B$6-1)*$C$6/$E$6),0),0)))</f>
        <v>0</v>
      </c>
      <c r="D18" s="21">
        <f>IF(OR($C$7="",$C$7=0),0,IF($E$7=0,IF($A18=$B$7,$C$7,0),IF(AND($A18&gt;$B$7,$A18&lt;=$B$7+$E$7),ROUND($C$7/$E$7+$D$7*($C$7-($A18-$B$7-1)*$C$7/$E$7),0),0)))</f>
        <v>0</v>
      </c>
      <c r="E18" s="21">
        <f>IF(OR($C$8="",$C$8=0),0,IF($E$8=0,IF($A18=$B$8,$C$8,0),IF(AND($A18&gt;$B$8,$A18&lt;=$B$8+$E$8),ROUND($C$8/$E$8+$D$8*($C$8-($A18-$B$8-1)*$C$8/$E$8),0),0)))</f>
        <v>0</v>
      </c>
      <c r="F18" s="21">
        <f>IF(OR($C$9="",$C$9=0),0,IF($E$9=0,IF($A18=$B$9,$C$9,0),IF(AND($A18&gt;$B$9,$A18&lt;=$B$9+$E$9),ROUND($C$9/$E$9+$D$9*($C$9-($A18-$B$9-1)*$C$9/$E$9),0),0)))</f>
        <v>0</v>
      </c>
      <c r="G18" s="17">
        <f>SUM(B18:F18)</f>
        <v>0</v>
      </c>
    </row>
    <row r="19">
      <c r="A19" s="39">
        <f>A18+1</f>
        <v>2033</v>
      </c>
      <c r="B19" s="21">
        <f>IF(OR($C$5="",$C$5=0),0,IF($E$5=0,IF($A19=$B$5,$C$5,0),IF(AND($A19&gt;$B$5,$A19&lt;=$B$5+$E$5),ROUND($C$5/$E$5+$D$5*($C$5-($A19-$B$5-1)*$C$5/$E$5),0),0)))</f>
        <v>0</v>
      </c>
      <c r="C19" s="21">
        <f>IF(OR($C$6="",$C$6=0),0,IF($E$6=0,IF($A19=$B$6,$C$6,0),IF(AND($A19&gt;$B$6,$A19&lt;=$B$6+$E$6),ROUND($C$6/$E$6+$D$6*($C$6-($A19-$B$6-1)*$C$6/$E$6),0),0)))</f>
        <v>0</v>
      </c>
      <c r="D19" s="21">
        <f>IF(OR($C$7="",$C$7=0),0,IF($E$7=0,IF($A19=$B$7,$C$7,0),IF(AND($A19&gt;$B$7,$A19&lt;=$B$7+$E$7),ROUND($C$7/$E$7+$D$7*($C$7-($A19-$B$7-1)*$C$7/$E$7),0),0)))</f>
        <v>0</v>
      </c>
      <c r="E19" s="21">
        <f>IF(OR($C$8="",$C$8=0),0,IF($E$8=0,IF($A19=$B$8,$C$8,0),IF(AND($A19&gt;$B$8,$A19&lt;=$B$8+$E$8),ROUND($C$8/$E$8+$D$8*($C$8-($A19-$B$8-1)*$C$8/$E$8),0),0)))</f>
        <v>0</v>
      </c>
      <c r="F19" s="21">
        <f>IF(OR($C$9="",$C$9=0),0,IF($E$9=0,IF($A19=$B$9,$C$9,0),IF(AND($A19&gt;$B$9,$A19&lt;=$B$9+$E$9),ROUND($C$9/$E$9+$D$9*($C$9-($A19-$B$9-1)*$C$9/$E$9),0),0)))</f>
        <v>0</v>
      </c>
      <c r="G19" s="17">
        <f>SUM(B19:F19)</f>
        <v>0</v>
      </c>
    </row>
    <row r="20">
      <c r="A20" s="39">
        <f>A19+1</f>
        <v>2034</v>
      </c>
      <c r="B20" s="21">
        <f>IF(OR($C$5="",$C$5=0),0,IF($E$5=0,IF($A20=$B$5,$C$5,0),IF(AND($A20&gt;$B$5,$A20&lt;=$B$5+$E$5),ROUND($C$5/$E$5+$D$5*($C$5-($A20-$B$5-1)*$C$5/$E$5),0),0)))</f>
        <v>0</v>
      </c>
      <c r="C20" s="21">
        <f>IF(OR($C$6="",$C$6=0),0,IF($E$6=0,IF($A20=$B$6,$C$6,0),IF(AND($A20&gt;$B$6,$A20&lt;=$B$6+$E$6),ROUND($C$6/$E$6+$D$6*($C$6-($A20-$B$6-1)*$C$6/$E$6),0),0)))</f>
        <v>0</v>
      </c>
      <c r="D20" s="21">
        <f>IF(OR($C$7="",$C$7=0),0,IF($E$7=0,IF($A20=$B$7,$C$7,0),IF(AND($A20&gt;$B$7,$A20&lt;=$B$7+$E$7),ROUND($C$7/$E$7+$D$7*($C$7-($A20-$B$7-1)*$C$7/$E$7),0),0)))</f>
        <v>0</v>
      </c>
      <c r="E20" s="21">
        <f>IF(OR($C$8="",$C$8=0),0,IF($E$8=0,IF($A20=$B$8,$C$8,0),IF(AND($A20&gt;$B$8,$A20&lt;=$B$8+$E$8),ROUND($C$8/$E$8+$D$8*($C$8-($A20-$B$8-1)*$C$8/$E$8),0),0)))</f>
        <v>0</v>
      </c>
      <c r="F20" s="21">
        <f>IF(OR($C$9="",$C$9=0),0,IF($E$9=0,IF($A20=$B$9,$C$9,0),IF(AND($A20&gt;$B$9,$A20&lt;=$B$9+$E$9),ROUND($C$9/$E$9+$D$9*($C$9-($A20-$B$9-1)*$C$9/$E$9),0),0)))</f>
        <v>0</v>
      </c>
      <c r="G20" s="17">
        <f>SUM(B20:F20)</f>
        <v>0</v>
      </c>
    </row>
    <row r="21">
      <c r="A21" s="39">
        <f>A20+1</f>
        <v>2035</v>
      </c>
      <c r="B21" s="21">
        <f>IF(OR($C$5="",$C$5=0),0,IF($E$5=0,IF($A21=$B$5,$C$5,0),IF(AND($A21&gt;$B$5,$A21&lt;=$B$5+$E$5),ROUND($C$5/$E$5+$D$5*($C$5-($A21-$B$5-1)*$C$5/$E$5),0),0)))</f>
        <v>0</v>
      </c>
      <c r="C21" s="21">
        <f>IF(OR($C$6="",$C$6=0),0,IF($E$6=0,IF($A21=$B$6,$C$6,0),IF(AND($A21&gt;$B$6,$A21&lt;=$B$6+$E$6),ROUND($C$6/$E$6+$D$6*($C$6-($A21-$B$6-1)*$C$6/$E$6),0),0)))</f>
        <v>0</v>
      </c>
      <c r="D21" s="21">
        <f>IF(OR($C$7="",$C$7=0),0,IF($E$7=0,IF($A21=$B$7,$C$7,0),IF(AND($A21&gt;$B$7,$A21&lt;=$B$7+$E$7),ROUND($C$7/$E$7+$D$7*($C$7-($A21-$B$7-1)*$C$7/$E$7),0),0)))</f>
        <v>0</v>
      </c>
      <c r="E21" s="21">
        <f>IF(OR($C$8="",$C$8=0),0,IF($E$8=0,IF($A21=$B$8,$C$8,0),IF(AND($A21&gt;$B$8,$A21&lt;=$B$8+$E$8),ROUND($C$8/$E$8+$D$8*($C$8-($A21-$B$8-1)*$C$8/$E$8),0),0)))</f>
        <v>0</v>
      </c>
      <c r="F21" s="21">
        <f>IF(OR($C$9="",$C$9=0),0,IF($E$9=0,IF($A21=$B$9,$C$9,0),IF(AND($A21&gt;$B$9,$A21&lt;=$B$9+$E$9),ROUND($C$9/$E$9+$D$9*($C$9-($A21-$B$9-1)*$C$9/$E$9),0),0)))</f>
        <v>0</v>
      </c>
      <c r="G21" s="17">
        <f>SUM(B21:F21)</f>
        <v>0</v>
      </c>
    </row>
    <row r="22">
      <c r="A22" s="39">
        <f>A21+1</f>
        <v>2036</v>
      </c>
      <c r="B22" s="21">
        <f>IF(OR($C$5="",$C$5=0),0,IF($E$5=0,IF($A22=$B$5,$C$5,0),IF(AND($A22&gt;$B$5,$A22&lt;=$B$5+$E$5),ROUND($C$5/$E$5+$D$5*($C$5-($A22-$B$5-1)*$C$5/$E$5),0),0)))</f>
        <v>0</v>
      </c>
      <c r="C22" s="21">
        <f>IF(OR($C$6="",$C$6=0),0,IF($E$6=0,IF($A22=$B$6,$C$6,0),IF(AND($A22&gt;$B$6,$A22&lt;=$B$6+$E$6),ROUND($C$6/$E$6+$D$6*($C$6-($A22-$B$6-1)*$C$6/$E$6),0),0)))</f>
        <v>0</v>
      </c>
      <c r="D22" s="21">
        <f>IF(OR($C$7="",$C$7=0),0,IF($E$7=0,IF($A22=$B$7,$C$7,0),IF(AND($A22&gt;$B$7,$A22&lt;=$B$7+$E$7),ROUND($C$7/$E$7+$D$7*($C$7-($A22-$B$7-1)*$C$7/$E$7),0),0)))</f>
        <v>0</v>
      </c>
      <c r="E22" s="21">
        <f>IF(OR($C$8="",$C$8=0),0,IF($E$8=0,IF($A22=$B$8,$C$8,0),IF(AND($A22&gt;$B$8,$A22&lt;=$B$8+$E$8),ROUND($C$8/$E$8+$D$8*($C$8-($A22-$B$8-1)*$C$8/$E$8),0),0)))</f>
        <v>0</v>
      </c>
      <c r="F22" s="21">
        <f>IF(OR($C$9="",$C$9=0),0,IF($E$9=0,IF($A22=$B$9,$C$9,0),IF(AND($A22&gt;$B$9,$A22&lt;=$B$9+$E$9),ROUND($C$9/$E$9+$D$9*($C$9-($A22-$B$9-1)*$C$9/$E$9),0),0)))</f>
        <v>0</v>
      </c>
      <c r="G22" s="17">
        <f>SUM(B22:F22)</f>
        <v>0</v>
      </c>
    </row>
    <row r="23">
      <c r="A23" s="39">
        <f>A22+1</f>
        <v>2037</v>
      </c>
      <c r="B23" s="21">
        <f>IF(OR($C$5="",$C$5=0),0,IF($E$5=0,IF($A23=$B$5,$C$5,0),IF(AND($A23&gt;$B$5,$A23&lt;=$B$5+$E$5),ROUND($C$5/$E$5+$D$5*($C$5-($A23-$B$5-1)*$C$5/$E$5),0),0)))</f>
        <v>0</v>
      </c>
      <c r="C23" s="21">
        <f>IF(OR($C$6="",$C$6=0),0,IF($E$6=0,IF($A23=$B$6,$C$6,0),IF(AND($A23&gt;$B$6,$A23&lt;=$B$6+$E$6),ROUND($C$6/$E$6+$D$6*($C$6-($A23-$B$6-1)*$C$6/$E$6),0),0)))</f>
        <v>0</v>
      </c>
      <c r="D23" s="21">
        <f>IF(OR($C$7="",$C$7=0),0,IF($E$7=0,IF($A23=$B$7,$C$7,0),IF(AND($A23&gt;$B$7,$A23&lt;=$B$7+$E$7),ROUND($C$7/$E$7+$D$7*($C$7-($A23-$B$7-1)*$C$7/$E$7),0),0)))</f>
        <v>0</v>
      </c>
      <c r="E23" s="21">
        <f>IF(OR($C$8="",$C$8=0),0,IF($E$8=0,IF($A23=$B$8,$C$8,0),IF(AND($A23&gt;$B$8,$A23&lt;=$B$8+$E$8),ROUND($C$8/$E$8+$D$8*($C$8-($A23-$B$8-1)*$C$8/$E$8),0),0)))</f>
        <v>0</v>
      </c>
      <c r="F23" s="21">
        <f>IF(OR($C$9="",$C$9=0),0,IF($E$9=0,IF($A23=$B$9,$C$9,0),IF(AND($A23&gt;$B$9,$A23&lt;=$B$9+$E$9),ROUND($C$9/$E$9+$D$9*($C$9-($A23-$B$9-1)*$C$9/$E$9),0),0)))</f>
        <v>0</v>
      </c>
      <c r="G23" s="17">
        <f>SUM(B23:F23)</f>
        <v>0</v>
      </c>
    </row>
    <row r="24">
      <c r="A24" s="39">
        <f>A23+1</f>
        <v>2038</v>
      </c>
      <c r="B24" s="21">
        <f>IF(OR($C$5="",$C$5=0),0,IF($E$5=0,IF($A24=$B$5,$C$5,0),IF(AND($A24&gt;$B$5,$A24&lt;=$B$5+$E$5),ROUND($C$5/$E$5+$D$5*($C$5-($A24-$B$5-1)*$C$5/$E$5),0),0)))</f>
        <v>0</v>
      </c>
      <c r="C24" s="21">
        <f>IF(OR($C$6="",$C$6=0),0,IF($E$6=0,IF($A24=$B$6,$C$6,0),IF(AND($A24&gt;$B$6,$A24&lt;=$B$6+$E$6),ROUND($C$6/$E$6+$D$6*($C$6-($A24-$B$6-1)*$C$6/$E$6),0),0)))</f>
        <v>0</v>
      </c>
      <c r="D24" s="21">
        <f>IF(OR($C$7="",$C$7=0),0,IF($E$7=0,IF($A24=$B$7,$C$7,0),IF(AND($A24&gt;$B$7,$A24&lt;=$B$7+$E$7),ROUND($C$7/$E$7+$D$7*($C$7-($A24-$B$7-1)*$C$7/$E$7),0),0)))</f>
        <v>0</v>
      </c>
      <c r="E24" s="21">
        <f>IF(OR($C$8="",$C$8=0),0,IF($E$8=0,IF($A24=$B$8,$C$8,0),IF(AND($A24&gt;$B$8,$A24&lt;=$B$8+$E$8),ROUND($C$8/$E$8+$D$8*($C$8-($A24-$B$8-1)*$C$8/$E$8),0),0)))</f>
        <v>0</v>
      </c>
      <c r="F24" s="21">
        <f>IF(OR($C$9="",$C$9=0),0,IF($E$9=0,IF($A24=$B$9,$C$9,0),IF(AND($A24&gt;$B$9,$A24&lt;=$B$9+$E$9),ROUND($C$9/$E$9+$D$9*($C$9-($A24-$B$9-1)*$C$9/$E$9),0),0)))</f>
        <v>0</v>
      </c>
      <c r="G24" s="17">
        <f>SUM(B24:F24)</f>
        <v>0</v>
      </c>
    </row>
    <row r="25">
      <c r="A25" s="39">
        <f>A24+1</f>
        <v>2039</v>
      </c>
      <c r="B25" s="21">
        <f>IF(OR($C$5="",$C$5=0),0,IF($E$5=0,IF($A25=$B$5,$C$5,0),IF(AND($A25&gt;$B$5,$A25&lt;=$B$5+$E$5),ROUND($C$5/$E$5+$D$5*($C$5-($A25-$B$5-1)*$C$5/$E$5),0),0)))</f>
        <v>0</v>
      </c>
      <c r="C25" s="21">
        <f>IF(OR($C$6="",$C$6=0),0,IF($E$6=0,IF($A25=$B$6,$C$6,0),IF(AND($A25&gt;$B$6,$A25&lt;=$B$6+$E$6),ROUND($C$6/$E$6+$D$6*($C$6-($A25-$B$6-1)*$C$6/$E$6),0),0)))</f>
        <v>0</v>
      </c>
      <c r="D25" s="21">
        <f>IF(OR($C$7="",$C$7=0),0,IF($E$7=0,IF($A25=$B$7,$C$7,0),IF(AND($A25&gt;$B$7,$A25&lt;=$B$7+$E$7),ROUND($C$7/$E$7+$D$7*($C$7-($A25-$B$7-1)*$C$7/$E$7),0),0)))</f>
        <v>0</v>
      </c>
      <c r="E25" s="21">
        <f>IF(OR($C$8="",$C$8=0),0,IF($E$8=0,IF($A25=$B$8,$C$8,0),IF(AND($A25&gt;$B$8,$A25&lt;=$B$8+$E$8),ROUND($C$8/$E$8+$D$8*($C$8-($A25-$B$8-1)*$C$8/$E$8),0),0)))</f>
        <v>0</v>
      </c>
      <c r="F25" s="21">
        <f>IF(OR($C$9="",$C$9=0),0,IF($E$9=0,IF($A25=$B$9,$C$9,0),IF(AND($A25&gt;$B$9,$A25&lt;=$B$9+$E$9),ROUND($C$9/$E$9+$D$9*($C$9-($A25-$B$9-1)*$C$9/$E$9),0),0)))</f>
        <v>0</v>
      </c>
      <c r="G25" s="17">
        <f>SUM(B25:F25)</f>
        <v>0</v>
      </c>
    </row>
    <row r="26">
      <c r="A26" s="39">
        <f>A25+1</f>
        <v>2040</v>
      </c>
      <c r="B26" s="21">
        <f>IF(OR($C$5="",$C$5=0),0,IF($E$5=0,IF($A26=$B$5,$C$5,0),IF(AND($A26&gt;$B$5,$A26&lt;=$B$5+$E$5),ROUND($C$5/$E$5+$D$5*($C$5-($A26-$B$5-1)*$C$5/$E$5),0),0)))</f>
        <v>0</v>
      </c>
      <c r="C26" s="21">
        <f>IF(OR($C$6="",$C$6=0),0,IF($E$6=0,IF($A26=$B$6,$C$6,0),IF(AND($A26&gt;$B$6,$A26&lt;=$B$6+$E$6),ROUND($C$6/$E$6+$D$6*($C$6-($A26-$B$6-1)*$C$6/$E$6),0),0)))</f>
        <v>0</v>
      </c>
      <c r="D26" s="21">
        <f>IF(OR($C$7="",$C$7=0),0,IF($E$7=0,IF($A26=$B$7,$C$7,0),IF(AND($A26&gt;$B$7,$A26&lt;=$B$7+$E$7),ROUND($C$7/$E$7+$D$7*($C$7-($A26-$B$7-1)*$C$7/$E$7),0),0)))</f>
        <v>0</v>
      </c>
      <c r="E26" s="21">
        <f>IF(OR($C$8="",$C$8=0),0,IF($E$8=0,IF($A26=$B$8,$C$8,0),IF(AND($A26&gt;$B$8,$A26&lt;=$B$8+$E$8),ROUND($C$8/$E$8+$D$8*($C$8-($A26-$B$8-1)*$C$8/$E$8),0),0)))</f>
        <v>0</v>
      </c>
      <c r="F26" s="21">
        <f>IF(OR($C$9="",$C$9=0),0,IF($E$9=0,IF($A26=$B$9,$C$9,0),IF(AND($A26&gt;$B$9,$A26&lt;=$B$9+$E$9),ROUND($C$9/$E$9+$D$9*($C$9-($A26-$B$9-1)*$C$9/$E$9),0),0)))</f>
        <v>0</v>
      </c>
      <c r="G26" s="17">
        <f>SUM(B26:F26)</f>
        <v>0</v>
      </c>
    </row>
    <row r="27">
      <c r="A27" s="39">
        <f>A26+1</f>
        <v>2041</v>
      </c>
      <c r="B27" s="21">
        <f>IF(OR($C$5="",$C$5=0),0,IF($E$5=0,IF($A27=$B$5,$C$5,0),IF(AND($A27&gt;$B$5,$A27&lt;=$B$5+$E$5),ROUND($C$5/$E$5+$D$5*($C$5-($A27-$B$5-1)*$C$5/$E$5),0),0)))</f>
        <v>0</v>
      </c>
      <c r="C27" s="21">
        <f>IF(OR($C$6="",$C$6=0),0,IF($E$6=0,IF($A27=$B$6,$C$6,0),IF(AND($A27&gt;$B$6,$A27&lt;=$B$6+$E$6),ROUND($C$6/$E$6+$D$6*($C$6-($A27-$B$6-1)*$C$6/$E$6),0),0)))</f>
        <v>0</v>
      </c>
      <c r="D27" s="21">
        <f>IF(OR($C$7="",$C$7=0),0,IF($E$7=0,IF($A27=$B$7,$C$7,0),IF(AND($A27&gt;$B$7,$A27&lt;=$B$7+$E$7),ROUND($C$7/$E$7+$D$7*($C$7-($A27-$B$7-1)*$C$7/$E$7),0),0)))</f>
        <v>0</v>
      </c>
      <c r="E27" s="21">
        <f>IF(OR($C$8="",$C$8=0),0,IF($E$8=0,IF($A27=$B$8,$C$8,0),IF(AND($A27&gt;$B$8,$A27&lt;=$B$8+$E$8),ROUND($C$8/$E$8+$D$8*($C$8-($A27-$B$8-1)*$C$8/$E$8),0),0)))</f>
        <v>0</v>
      </c>
      <c r="F27" s="21">
        <f>IF(OR($C$9="",$C$9=0),0,IF($E$9=0,IF($A27=$B$9,$C$9,0),IF(AND($A27&gt;$B$9,$A27&lt;=$B$9+$E$9),ROUND($C$9/$E$9+$D$9*($C$9-($A27-$B$9-1)*$C$9/$E$9),0),0)))</f>
        <v>0</v>
      </c>
      <c r="G27" s="17">
        <f>SUM(B27:F27)</f>
        <v>0</v>
      </c>
    </row>
    <row r="28">
      <c r="A28" s="39">
        <f>A27+1</f>
        <v>2042</v>
      </c>
      <c r="B28" s="21">
        <f>IF(OR($C$5="",$C$5=0),0,IF($E$5=0,IF($A28=$B$5,$C$5,0),IF(AND($A28&gt;$B$5,$A28&lt;=$B$5+$E$5),ROUND($C$5/$E$5+$D$5*($C$5-($A28-$B$5-1)*$C$5/$E$5),0),0)))</f>
        <v>0</v>
      </c>
      <c r="C28" s="21">
        <f>IF(OR($C$6="",$C$6=0),0,IF($E$6=0,IF($A28=$B$6,$C$6,0),IF(AND($A28&gt;$B$6,$A28&lt;=$B$6+$E$6),ROUND($C$6/$E$6+$D$6*($C$6-($A28-$B$6-1)*$C$6/$E$6),0),0)))</f>
        <v>0</v>
      </c>
      <c r="D28" s="21">
        <f>IF(OR($C$7="",$C$7=0),0,IF($E$7=0,IF($A28=$B$7,$C$7,0),IF(AND($A28&gt;$B$7,$A28&lt;=$B$7+$E$7),ROUND($C$7/$E$7+$D$7*($C$7-($A28-$B$7-1)*$C$7/$E$7),0),0)))</f>
        <v>0</v>
      </c>
      <c r="E28" s="21">
        <f>IF(OR($C$8="",$C$8=0),0,IF($E$8=0,IF($A28=$B$8,$C$8,0),IF(AND($A28&gt;$B$8,$A28&lt;=$B$8+$E$8),ROUND($C$8/$E$8+$D$8*($C$8-($A28-$B$8-1)*$C$8/$E$8),0),0)))</f>
        <v>0</v>
      </c>
      <c r="F28" s="21">
        <f>IF(OR($C$9="",$C$9=0),0,IF($E$9=0,IF($A28=$B$9,$C$9,0),IF(AND($A28&gt;$B$9,$A28&lt;=$B$9+$E$9),ROUND($C$9/$E$9+$D$9*($C$9-($A28-$B$9-1)*$C$9/$E$9),0),0)))</f>
        <v>0</v>
      </c>
      <c r="G28" s="17">
        <f>SUM(B28:F28)</f>
        <v>0</v>
      </c>
    </row>
    <row r="29">
      <c r="A29" s="16" t="inlineStr">
        <is>
          <t>Total</t>
        </is>
      </c>
      <c r="G29" s="17">
        <f>SUM(G14:G28)</f>
        <v>0</v>
      </c>
      <c r="H29" s="6" t="inlineStr">
        <is>
          <t>equals principal plus interest paid in the window; the what-if true cost adds the balance and its post-window interest</t>
        </is>
      </c>
      <c t="str" r="I29" s="30">
        <f>IF(G29=F10+G10,"ok","CHECK")</f>
        <v>ok</v>
      </c>
    </row>
    <row r="31">
      <c r="A31" s="4" t="inlineStr">
        <is>
          <t>Impact on the plans (the expense assumed fully funded by its own levy line)</t>
        </is>
      </c>
      <c r="E31" s="6" t="inlineStr">
        <is>
          <t>Borrowing-rate change for the last column (e.g. 0.01 = one point):</t>
        </is>
      </c>
      <c r="H31" s="40" t="n"/>
    </row>
    <row r="32">
      <c r="A32" s="14" t="inlineStr">
        <is>
          <t>Plan</t>
        </is>
      </c>
      <c r="B32" s="14" t="inlineStr">
        <is>
          <t>True cost (model)</t>
        </is>
      </c>
      <c r="C32" s="14" t="inlineStr">
        <is>
          <t>True cost with what-if</t>
        </is>
      </c>
      <c r="D32" s="14" t="inlineStr">
        <is>
          <t>Owns − owes 2042 with what-if</t>
        </is>
      </c>
      <c r="E32" s="14" t="inlineStr">
        <is>
          <t>Added interest if rates shift (approx)</t>
        </is>
      </c>
    </row>
    <row r="33">
      <c r="A33" t="inlineStr">
        <is>
          <t>Current practice</t>
        </is>
      </c>
      <c r="B33" s="21">
        <f>'Summary'!B33</f>
        <v>7637750</v>
      </c>
      <c r="C33" s="17">
        <f>B33+$J$10</f>
        <v>7637750</v>
      </c>
      <c r="D33" s="21">
        <f>'Summary'!B30-$H$10</f>
        <v>-76995</v>
      </c>
      <c r="E33" s="21">
        <f>ROUND($H$31*(SUMIFS('Ballots &amp; Orders'!$D:$D,'Ballots &amp; Orders'!$F:$F,"P0",'Ballots &amp; Orders'!$G:$G,1)*6.5+(SUMIFS('Ballots &amp; Orders'!$D:$D,'Ballots &amp; Orders'!$F:$F,"P0")-SUMIFS('Ballots &amp; Orders'!$D:$D,'Ballots &amp; Orders'!$F:$F,"P0",'Ballots &amp; Orders'!$G:$G,1))*3),0)</f>
        <v>0</v>
      </c>
    </row>
    <row r="34">
      <c r="A34" t="inlineStr">
        <is>
          <t>Save $50,000 more a year</t>
        </is>
      </c>
      <c r="B34" s="21">
        <f>'Summary'!C33</f>
        <v>7354353</v>
      </c>
      <c r="C34" s="17">
        <f>B34+$J$10</f>
        <v>7354353</v>
      </c>
      <c r="D34" s="21">
        <f>'Summary'!C30-$H$10</f>
        <v>8567</v>
      </c>
      <c r="E34" s="21">
        <f>ROUND($H$31*(SUMIFS('Ballots &amp; Orders'!$D:$D,'Ballots &amp; Orders'!$F:$F,"P1",'Ballots &amp; Orders'!$G:$G,1)*6.5+(SUMIFS('Ballots &amp; Orders'!$D:$D,'Ballots &amp; Orders'!$F:$F,"P1")-SUMIFS('Ballots &amp; Orders'!$D:$D,'Ballots &amp; Orders'!$F:$F,"P1",'Ballots &amp; Orders'!$G:$G,1))*3),0)</f>
        <v>0</v>
      </c>
    </row>
    <row r="35">
      <c r="A35" t="inlineStr">
        <is>
          <t>Phased start from $300k (reaches $500k in FY2032)</t>
        </is>
      </c>
      <c r="B35" s="21">
        <f>'Summary'!D33</f>
        <v>7452172</v>
      </c>
      <c r="C35" s="17">
        <f>B35+$J$10</f>
        <v>7452172</v>
      </c>
      <c r="D35" s="21">
        <f>'Summary'!D30-$H$10</f>
        <v>-10408</v>
      </c>
      <c r="E35" s="21">
        <f>ROUND($H$31*(SUMIFS('Ballots &amp; Orders'!$D:$D,'Ballots &amp; Orders'!$F:$F,"P2",'Ballots &amp; Orders'!$G:$G,1)*6.5+(SUMIFS('Ballots &amp; Orders'!$D:$D,'Ballots &amp; Orders'!$F:$F,"P2")-SUMIFS('Ballots &amp; Orders'!$D:$D,'Ballots &amp; Orders'!$F:$F,"P2",'Ballots &amp; Orders'!$G:$G,1))*3),0)</f>
        <v>0</v>
      </c>
    </row>
    <row r="36">
      <c r="A36" t="inlineStr">
        <is>
          <t>Break even by 2042 ($500k/yr)</t>
        </is>
      </c>
      <c r="B36" s="21">
        <f>'Summary'!E33</f>
        <v>7447833</v>
      </c>
      <c r="C36" s="17">
        <f>B36+$J$10</f>
        <v>7447833</v>
      </c>
      <c r="D36" s="21">
        <f>'Summary'!E30-$H$10</f>
        <v>11524</v>
      </c>
      <c r="E36" s="21">
        <f>ROUND($H$31*(SUMIFS('Ballots &amp; Orders'!$D:$D,'Ballots &amp; Orders'!$F:$F,"P3",'Ballots &amp; Orders'!$G:$G,1)*6.5+(SUMIFS('Ballots &amp; Orders'!$D:$D,'Ballots &amp; Orders'!$F:$F,"P3")-SUMIFS('Ballots &amp; Orders'!$D:$D,'Ballots &amp; Orders'!$F:$F,"P3",'Ballots &amp; Orders'!$G:$G,1))*3),0)</f>
        <v>0</v>
      </c>
    </row>
    <row r="37">
      <c r="A37" t="inlineStr">
        <is>
          <t>Step up to $530k/yr (by FY2030)</t>
        </is>
      </c>
      <c r="B37" s="21">
        <f>'Summary'!F33</f>
        <v>7380684</v>
      </c>
      <c r="C37" s="17">
        <f>B37+$J$10</f>
        <v>7380684</v>
      </c>
      <c r="D37" s="21">
        <f>'Summary'!F30-$H$10</f>
        <v>394339</v>
      </c>
      <c r="E37" s="21">
        <f>ROUND($H$31*(SUMIFS('Ballots &amp; Orders'!$D:$D,'Ballots &amp; Orders'!$F:$F,"P5",'Ballots &amp; Orders'!$G:$G,1)*6.5+(SUMIFS('Ballots &amp; Orders'!$D:$D,'Ballots &amp; Orders'!$F:$F,"P5")-SUMIFS('Ballots &amp; Orders'!$D:$D,'Ballots &amp; Orders'!$F:$F,"P5",'Ballots &amp; Orders'!$G:$G,1))*3),0)</f>
        <v>0</v>
      </c>
    </row>
    <row r="38">
      <c r="A38" t="inlineStr">
        <is>
          <t>Full pre-funding ($565k/yr)</t>
        </is>
      </c>
      <c r="B38" s="21">
        <f>'Summary'!G33</f>
        <v>7130668</v>
      </c>
      <c r="C38" s="17">
        <f>B38+$J$10</f>
        <v>7130668</v>
      </c>
      <c r="D38" s="21">
        <f>'Summary'!G30-$H$10</f>
        <v>1265089</v>
      </c>
      <c r="E38" s="21">
        <f>ROUND($H$31*(SUMIFS('Ballots &amp; Orders'!$D:$D,'Ballots &amp; Orders'!$F:$F,"P4",'Ballots &amp; Orders'!$G:$G,1)*6.5+(SUMIFS('Ballots &amp; Orders'!$D:$D,'Ballots &amp; Orders'!$F:$F,"P4")-SUMIFS('Ballots &amp; Orders'!$D:$D,'Ballots &amp; Orders'!$F:$F,"P4",'Ballots &amp; Orders'!$G:$G,1))*3),0)</f>
        <v>0</v>
      </c>
    </row>
    <row r="40">
      <c r="A40" s="6" t="inlineStr">
        <is>
          <t>Added true cost = price plus all scheduled interest, inside the window and beyond it; the FY2042 position falls by any balance still owed. Every plan's total moves by the identical added amount, so the ordering is unchanged — read these as levels, not a re-ranking. The rate-shift column is a level-principal approximation (rate change × financed amounts × average life); the engine reprices exactly.</t>
        </is>
      </c>
    </row>
  </sheetData>
  <sheetProtection selectLockedCells="0" selectUnlockedCells="0" sheet="1" objects="0" insertRows="1" insertHyperlinks="1" autoFilter="1" scenarios="0" formatColumns="0" deleteColumns="1" insertColumns="1" pivotTables="1" deleteRows="1" formatCells="0" formatRows="0" sort="1"/>
  <dataValidations count="4">
    <dataValidation sqref="B5:B9" showDropDown="0" showInputMessage="0" showErrorMessage="1" allowBlank="1" error="Event FY must be between 2028 and 2042" type="whole" operator="between">
      <formula1>2028</formula1>
      <formula2>2042</formula2>
    </dataValidation>
    <dataValidation sqref="C5:C9" showDropDown="0" showInputMessage="0" showErrorMessage="1" allowBlank="1" error="Price must be a non-negative number" type="decimal" operator="greaterThanOrEqual">
      <formula1>0</formula1>
    </dataValidation>
    <dataValidation sqref="D5:D9" showDropDown="0" showInputMessage="0" showErrorMessage="1" allowBlank="1" error="Enter the rate as a decimal between 0 and 0.2" type="decimal" operator="between">
      <formula1>0</formula1>
      <formula2>0.2</formula2>
    </dataValidation>
    <dataValidation sqref="E5:E9" showDropDown="0" showInputMessage="0" showErrorMessage="1" allowBlank="1" error="Term must be 0 (cash) to 30 years" type="whole" operator="between">
      <formula1>0</formula1>
      <formula2>30</formula2>
    </dataValidation>
  </dataValidations>
  <pageMargins left="0.75" right="0.75" top="1" bottom="1" header="0.5" footer="0.5"/>
  <pageSetup orientation="landscape" fitToHeight="0" fitToWidth="1"/>
</worksheet>
</file>

<file path=xl/worksheets/sheet7.xml><?xml version="1.0" encoding="utf-8"?>
<worksheet xmlns="http://schemas.openxmlformats.org/spreadsheetml/2006/main">
  <sheetPr>
    <tabColor rgb="FF1F4E9E"/>
    <outlinePr summaryBelow="1" summaryRight="1"/>
    <pageSetUpPr fitToPage="1"/>
  </sheetPr>
  <dimension ref="A1:G35"/>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14" customWidth="1" min="1" max="1"/>
    <col width="19" customWidth="1" min="2" max="2"/>
    <col width="19" customWidth="1" min="3" max="3"/>
    <col width="19" customWidth="1" min="4" max="4"/>
    <col width="19" customWidth="1" min="5" max="5"/>
    <col width="19" customWidth="1" min="6" max="6"/>
    <col width="19" customWidth="1" min="7" max="7"/>
  </cols>
  <sheetData>
    <row r="1">
      <c r="A1" s="4" t="inlineStr">
        <is>
          <t>Annual capital budget, by fiscal year</t>
        </is>
      </c>
      <c r="B1" s="33" t="inlineStr">
        <is>
          <t>The number a budget vote sets. Add the flood line below for the actual bill.</t>
        </is>
      </c>
    </row>
    <row r="2">
      <c r="A2" s="14" t="inlineStr">
        <is>
          <t>Fiscal year</t>
        </is>
      </c>
      <c r="B2" s="14" t="inlineStr">
        <is>
          <t>Current practice</t>
        </is>
      </c>
      <c r="C2" s="14" t="inlineStr">
        <is>
          <t>Save $50,000 more a year</t>
        </is>
      </c>
      <c r="D2" s="14" t="inlineStr">
        <is>
          <t>Phased start from $300k (reaches $500k in FY2032)</t>
        </is>
      </c>
      <c r="E2" s="14" t="inlineStr">
        <is>
          <t>Break even by 2042 ($500k/yr)</t>
        </is>
      </c>
      <c r="F2" s="14" t="inlineStr">
        <is>
          <t>Step up to $530k/yr (by FY2030)</t>
        </is>
      </c>
      <c r="G2" s="14" t="inlineStr">
        <is>
          <t>Full pre-funding ($565k/yr)</t>
        </is>
      </c>
    </row>
    <row r="3">
      <c r="A3" t="inlineStr">
        <is>
          <t>FY2028</t>
        </is>
      </c>
      <c r="B3" s="26" t="n">
        <v>222681</v>
      </c>
      <c r="C3" s="26" t="n">
        <v>272681</v>
      </c>
      <c r="D3" s="26" t="n">
        <v>300000</v>
      </c>
      <c r="E3" s="26" t="n">
        <v>500000</v>
      </c>
      <c r="F3" s="26" t="n">
        <v>450000</v>
      </c>
      <c r="G3" s="26" t="n">
        <v>565000</v>
      </c>
    </row>
    <row r="4">
      <c r="A4" t="inlineStr">
        <is>
          <t>FY2029</t>
        </is>
      </c>
      <c r="B4" s="26" t="n">
        <v>550496</v>
      </c>
      <c r="C4" s="26" t="n">
        <v>588837</v>
      </c>
      <c r="D4" s="26" t="n">
        <v>441000</v>
      </c>
      <c r="E4" s="26" t="n">
        <v>511000</v>
      </c>
      <c r="F4" s="26" t="n">
        <v>501000</v>
      </c>
      <c r="G4" s="26" t="n">
        <v>576000</v>
      </c>
    </row>
    <row r="5">
      <c r="A5" t="inlineStr">
        <is>
          <t>FY2030</t>
        </is>
      </c>
      <c r="B5" s="26" t="n">
        <v>632674</v>
      </c>
      <c r="C5" s="26" t="n">
        <v>616150</v>
      </c>
      <c r="D5" s="26" t="n">
        <v>560000</v>
      </c>
      <c r="E5" s="26" t="n">
        <v>500000</v>
      </c>
      <c r="F5" s="26" t="n">
        <v>530000</v>
      </c>
      <c r="G5" s="26" t="n">
        <v>565000</v>
      </c>
    </row>
    <row r="6">
      <c r="A6" t="inlineStr">
        <is>
          <t>FY2031</t>
        </is>
      </c>
      <c r="B6" s="26" t="n">
        <v>605641</v>
      </c>
      <c r="C6" s="26" t="n">
        <v>585014</v>
      </c>
      <c r="D6" s="26" t="n">
        <v>690000</v>
      </c>
      <c r="E6" s="26" t="n">
        <v>500000</v>
      </c>
      <c r="F6" s="26" t="n">
        <v>530000</v>
      </c>
      <c r="G6" s="26" t="n">
        <v>565000</v>
      </c>
    </row>
    <row r="7">
      <c r="A7" t="inlineStr">
        <is>
          <t>FY2032</t>
        </is>
      </c>
      <c r="B7" s="26" t="n">
        <v>629055</v>
      </c>
      <c r="C7" s="26" t="n">
        <v>583428</v>
      </c>
      <c r="D7" s="26" t="n">
        <v>500000</v>
      </c>
      <c r="E7" s="26" t="n">
        <v>500000</v>
      </c>
      <c r="F7" s="26" t="n">
        <v>530000</v>
      </c>
      <c r="G7" s="26" t="n">
        <v>565000</v>
      </c>
    </row>
    <row r="8">
      <c r="A8" t="inlineStr">
        <is>
          <t>FY2033</t>
        </is>
      </c>
      <c r="B8" s="26" t="n">
        <v>602468</v>
      </c>
      <c r="C8" s="26" t="n">
        <v>581841</v>
      </c>
      <c r="D8" s="26" t="n">
        <v>500000</v>
      </c>
      <c r="E8" s="26" t="n">
        <v>500000</v>
      </c>
      <c r="F8" s="26" t="n">
        <v>530000</v>
      </c>
      <c r="G8" s="26" t="n">
        <v>565000</v>
      </c>
    </row>
    <row r="9">
      <c r="A9" t="inlineStr">
        <is>
          <t>FY2034</t>
        </is>
      </c>
      <c r="B9" s="26" t="n">
        <v>532818</v>
      </c>
      <c r="C9" s="26" t="n">
        <v>505698</v>
      </c>
      <c r="D9" s="26" t="n">
        <v>500000</v>
      </c>
      <c r="E9" s="26" t="n">
        <v>500000</v>
      </c>
      <c r="F9" s="26" t="n">
        <v>530000</v>
      </c>
      <c r="G9" s="26" t="n">
        <v>565000</v>
      </c>
    </row>
    <row r="10">
      <c r="A10" t="inlineStr">
        <is>
          <t>FY2035</t>
        </is>
      </c>
      <c r="B10" s="26" t="n">
        <v>432492</v>
      </c>
      <c r="C10" s="26" t="n">
        <v>460236</v>
      </c>
      <c r="D10" s="26" t="n">
        <v>500000</v>
      </c>
      <c r="E10" s="26" t="n">
        <v>500000</v>
      </c>
      <c r="F10" s="26" t="n">
        <v>530000</v>
      </c>
      <c r="G10" s="26" t="n">
        <v>565000</v>
      </c>
    </row>
    <row r="11">
      <c r="A11" t="inlineStr">
        <is>
          <t>FY2036</t>
        </is>
      </c>
      <c r="B11" s="26" t="n">
        <v>446909</v>
      </c>
      <c r="C11" s="26" t="n">
        <v>475903</v>
      </c>
      <c r="D11" s="26" t="n">
        <v>500000</v>
      </c>
      <c r="E11" s="26" t="n">
        <v>500000</v>
      </c>
      <c r="F11" s="26" t="n">
        <v>530000</v>
      </c>
      <c r="G11" s="26" t="n">
        <v>565000</v>
      </c>
    </row>
    <row r="12">
      <c r="A12" t="inlineStr">
        <is>
          <t>FY2037</t>
        </is>
      </c>
      <c r="B12" s="26" t="n">
        <v>468686</v>
      </c>
      <c r="C12" s="26" t="n">
        <v>494960</v>
      </c>
      <c r="D12" s="26" t="n">
        <v>500000</v>
      </c>
      <c r="E12" s="26" t="n">
        <v>500000</v>
      </c>
      <c r="F12" s="26" t="n">
        <v>530000</v>
      </c>
      <c r="G12" s="26" t="n">
        <v>565000</v>
      </c>
    </row>
    <row r="13">
      <c r="A13" t="inlineStr">
        <is>
          <t>FY2038</t>
        </is>
      </c>
      <c r="B13" s="26" t="n">
        <v>549420</v>
      </c>
      <c r="C13" s="26" t="n">
        <v>548652</v>
      </c>
      <c r="D13" s="26" t="n">
        <v>500000</v>
      </c>
      <c r="E13" s="26" t="n">
        <v>500000</v>
      </c>
      <c r="F13" s="26" t="n">
        <v>530000</v>
      </c>
      <c r="G13" s="26" t="n">
        <v>565000</v>
      </c>
    </row>
    <row r="14">
      <c r="A14" t="inlineStr">
        <is>
          <t>FY2039</t>
        </is>
      </c>
      <c r="B14" s="26" t="n">
        <v>565649</v>
      </c>
      <c r="C14" s="26" t="n">
        <v>566088</v>
      </c>
      <c r="D14" s="26" t="n">
        <v>500000</v>
      </c>
      <c r="E14" s="26" t="n">
        <v>500000</v>
      </c>
      <c r="F14" s="26" t="n">
        <v>530000</v>
      </c>
      <c r="G14" s="26" t="n">
        <v>565000</v>
      </c>
    </row>
    <row r="15">
      <c r="A15" t="inlineStr">
        <is>
          <t>FY2040</t>
        </is>
      </c>
      <c r="B15" s="26" t="n">
        <v>633716</v>
      </c>
      <c r="C15" s="26" t="n">
        <v>586070</v>
      </c>
      <c r="D15" s="26" t="n">
        <v>515000</v>
      </c>
      <c r="E15" s="26" t="n">
        <v>515000</v>
      </c>
      <c r="F15" s="26" t="n">
        <v>545000</v>
      </c>
      <c r="G15" s="26" t="n">
        <v>580000</v>
      </c>
    </row>
    <row r="16">
      <c r="A16" t="inlineStr">
        <is>
          <t>FY2041</t>
        </is>
      </c>
      <c r="B16" s="26" t="n">
        <v>376060</v>
      </c>
      <c r="C16" s="26" t="n">
        <v>317058</v>
      </c>
      <c r="D16" s="26" t="n">
        <v>500000</v>
      </c>
      <c r="E16" s="26" t="n">
        <v>500000</v>
      </c>
      <c r="F16" s="26" t="n">
        <v>530000</v>
      </c>
      <c r="G16" s="26" t="n">
        <v>565000</v>
      </c>
    </row>
    <row r="17">
      <c r="A17" t="inlineStr">
        <is>
          <t>FY2042</t>
        </is>
      </c>
      <c r="B17" s="26" t="n">
        <v>333383</v>
      </c>
      <c r="C17" s="26" t="n">
        <v>277100</v>
      </c>
      <c r="D17" s="26" t="n">
        <v>500000</v>
      </c>
      <c r="E17" s="26" t="n">
        <v>500000</v>
      </c>
      <c r="F17" s="26" t="n">
        <v>530000</v>
      </c>
      <c r="G17" s="26" t="n">
        <v>565000</v>
      </c>
    </row>
    <row r="18">
      <c r="A18" s="16" t="inlineStr">
        <is>
          <t>Total</t>
        </is>
      </c>
      <c r="B18" s="17">
        <f>SUM(B3:B17)</f>
        <v>7582148</v>
      </c>
      <c r="C18" s="17">
        <f>SUM(C3:C17)</f>
        <v>7459716</v>
      </c>
      <c r="D18" s="17">
        <f>SUM(D3:D17)</f>
        <v>7506000</v>
      </c>
      <c r="E18" s="17">
        <f>SUM(E3:E17)</f>
        <v>7526000</v>
      </c>
      <c r="F18" s="17">
        <f>SUM(F3:F17)</f>
        <v>7856000</v>
      </c>
      <c r="G18" s="17">
        <f>SUM(G3:G17)</f>
        <v>8501000</v>
      </c>
    </row>
    <row r="20">
      <c r="A20" s="4" t="inlineStr">
        <is>
          <t>Flood debt service (contractual worst case; identical in every plan)</t>
        </is>
      </c>
    </row>
    <row r="21">
      <c r="A21" t="inlineStr">
        <is>
          <t>FY2028</t>
        </is>
      </c>
      <c r="B21" s="26" t="n">
        <v>465528</v>
      </c>
    </row>
    <row r="22">
      <c r="A22" t="inlineStr">
        <is>
          <t>FY2029</t>
        </is>
      </c>
      <c r="B22" s="26" t="n">
        <v>465528</v>
      </c>
    </row>
    <row r="23">
      <c r="A23" t="inlineStr">
        <is>
          <t>FY2030</t>
        </is>
      </c>
      <c r="B23" s="26" t="n">
        <v>465528</v>
      </c>
    </row>
    <row r="24">
      <c r="A24" t="inlineStr">
        <is>
          <t>FY2031</t>
        </is>
      </c>
      <c r="B24" s="26" t="n">
        <v>465528</v>
      </c>
    </row>
    <row r="25">
      <c r="A25" t="inlineStr">
        <is>
          <t>FY2032</t>
        </is>
      </c>
      <c r="B25" s="26" t="n">
        <v>288260</v>
      </c>
    </row>
    <row r="26">
      <c r="A26" t="inlineStr">
        <is>
          <t>FY2033</t>
        </is>
      </c>
      <c r="B26" s="26" t="n">
        <v>0</v>
      </c>
    </row>
    <row r="27">
      <c r="A27" t="inlineStr">
        <is>
          <t>FY2034</t>
        </is>
      </c>
      <c r="B27" s="26" t="n">
        <v>0</v>
      </c>
    </row>
    <row r="28">
      <c r="A28" t="inlineStr">
        <is>
          <t>FY2035</t>
        </is>
      </c>
      <c r="B28" s="26" t="n">
        <v>0</v>
      </c>
    </row>
    <row r="29">
      <c r="A29" t="inlineStr">
        <is>
          <t>FY2036</t>
        </is>
      </c>
      <c r="B29" s="26" t="n">
        <v>0</v>
      </c>
    </row>
    <row r="30">
      <c r="A30" t="inlineStr">
        <is>
          <t>FY2037</t>
        </is>
      </c>
      <c r="B30" s="26" t="n">
        <v>0</v>
      </c>
    </row>
    <row r="31">
      <c r="A31" t="inlineStr">
        <is>
          <t>FY2038</t>
        </is>
      </c>
      <c r="B31" s="26" t="n">
        <v>0</v>
      </c>
    </row>
    <row r="32">
      <c r="A32" t="inlineStr">
        <is>
          <t>FY2039</t>
        </is>
      </c>
      <c r="B32" s="26" t="n">
        <v>0</v>
      </c>
    </row>
    <row r="33">
      <c r="A33" t="inlineStr">
        <is>
          <t>FY2040</t>
        </is>
      </c>
      <c r="B33" s="26" t="n">
        <v>0</v>
      </c>
    </row>
    <row r="34">
      <c r="A34" t="inlineStr">
        <is>
          <t>FY2041</t>
        </is>
      </c>
      <c r="B34" s="26" t="n">
        <v>0</v>
      </c>
    </row>
    <row r="35">
      <c r="A35" t="inlineStr">
        <is>
          <t>FY2042</t>
        </is>
      </c>
      <c r="B35" s="26" t="n">
        <v>0</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8.xml><?xml version="1.0" encoding="utf-8"?>
<worksheet xmlns="http://schemas.openxmlformats.org/spreadsheetml/2006/main">
  <sheetPr>
    <tabColor rgb="FF1F4E9E"/>
    <outlinePr summaryBelow="1" summaryRight="1"/>
    <pageSetUpPr fitToPage="1"/>
  </sheetPr>
  <dimension ref="A1:G148"/>
  <sheetViews>
    <sheetView workbookViewId="0">
      <pane xSplit="1" topLeftCell="B1" activePane="topRight" state="frozen"/>
      <selection pane="topRight" activeCell="A1" sqref="A1"/>
    </sheetView>
  </sheetViews>
  <sheetFormatPr baseColWidth="8" defaultRowHeight="15"/>
  <cols>
    <col width="14" customWidth="1" min="1" max="1"/>
    <col width="19" customWidth="1" min="2" max="2"/>
    <col width="19" customWidth="1" min="3" max="3"/>
    <col width="19" customWidth="1" min="4" max="4"/>
    <col width="19" customWidth="1" min="5" max="5"/>
    <col width="19" customWidth="1" min="6" max="6"/>
    <col width="19" customWidth="1" min="7" max="7"/>
  </cols>
  <sheetData>
    <row r="1">
      <c r="A1" s="4" t="inlineStr">
        <is>
          <t>Debt service on the tax bill</t>
        </is>
      </c>
      <c r="B1" s="33" t="inlineStr">
        <is>
          <t>Included in the levy above; a separate tax line under Current practice and Save $50,000 more; only the fire-station bond for the single-line plans.</t>
        </is>
      </c>
    </row>
    <row r="2">
      <c r="A2" s="14" t="inlineStr">
        <is>
          <t>Fiscal year</t>
        </is>
      </c>
      <c r="B2" s="14" t="inlineStr">
        <is>
          <t>Current practice</t>
        </is>
      </c>
      <c r="C2" s="14" t="inlineStr">
        <is>
          <t>Save $50,000 more a year</t>
        </is>
      </c>
      <c r="D2" s="14" t="inlineStr">
        <is>
          <t>Phased start from $300k (reaches $500k in FY2032)</t>
        </is>
      </c>
      <c r="E2" s="14" t="inlineStr">
        <is>
          <t>Break even by 2042 ($500k/yr)</t>
        </is>
      </c>
      <c r="F2" s="14" t="inlineStr">
        <is>
          <t>Step up to $530k/yr (by FY2030)</t>
        </is>
      </c>
      <c r="G2" s="14" t="inlineStr">
        <is>
          <t>Full pre-funding ($565k/yr)</t>
        </is>
      </c>
    </row>
    <row r="3">
      <c r="A3" t="inlineStr">
        <is>
          <t>FY2028</t>
        </is>
      </c>
      <c r="B3" s="26" t="n">
        <v>96681</v>
      </c>
      <c r="C3" s="26" t="n">
        <v>96681</v>
      </c>
      <c r="D3" s="26" t="n">
        <v>45028</v>
      </c>
      <c r="E3" s="26" t="n">
        <v>45028</v>
      </c>
      <c r="F3" s="26" t="n">
        <v>45028</v>
      </c>
      <c r="G3" s="26" t="n">
        <v>45028</v>
      </c>
    </row>
    <row r="4">
      <c r="A4" t="inlineStr">
        <is>
          <t>FY2029</t>
        </is>
      </c>
      <c r="B4" s="26" t="n">
        <v>438496</v>
      </c>
      <c r="C4" s="26" t="n">
        <v>401837</v>
      </c>
      <c r="D4" s="26" t="n">
        <v>43352</v>
      </c>
      <c r="E4" s="26" t="n">
        <v>43352</v>
      </c>
      <c r="F4" s="26" t="n">
        <v>43352</v>
      </c>
      <c r="G4" s="26" t="n">
        <v>43352</v>
      </c>
    </row>
    <row r="5">
      <c r="A5" t="inlineStr">
        <is>
          <t>FY2030</t>
        </is>
      </c>
      <c r="B5" s="26" t="n">
        <v>506674</v>
      </c>
      <c r="C5" s="26" t="n">
        <v>440150</v>
      </c>
      <c r="D5" s="26" t="n">
        <v>41676</v>
      </c>
      <c r="E5" s="26" t="n">
        <v>41676</v>
      </c>
      <c r="F5" s="26" t="n">
        <v>41676</v>
      </c>
      <c r="G5" s="26" t="n">
        <v>41676</v>
      </c>
    </row>
    <row r="6">
      <c r="A6" t="inlineStr">
        <is>
          <t>FY2031</t>
        </is>
      </c>
      <c r="B6" s="26" t="n">
        <v>504641</v>
      </c>
      <c r="C6" s="26" t="n">
        <v>409014</v>
      </c>
      <c r="D6" s="26" t="n">
        <v>0</v>
      </c>
      <c r="E6" s="26" t="n">
        <v>0</v>
      </c>
      <c r="F6" s="26" t="n">
        <v>0</v>
      </c>
      <c r="G6" s="26" t="n">
        <v>0</v>
      </c>
    </row>
    <row r="7">
      <c r="A7" t="inlineStr">
        <is>
          <t>FY2032</t>
        </is>
      </c>
      <c r="B7" s="26" t="n">
        <v>503055</v>
      </c>
      <c r="C7" s="26" t="n">
        <v>407428</v>
      </c>
      <c r="D7" s="26" t="n">
        <v>0</v>
      </c>
      <c r="E7" s="26" t="n">
        <v>0</v>
      </c>
      <c r="F7" s="26" t="n">
        <v>0</v>
      </c>
      <c r="G7" s="26" t="n">
        <v>0</v>
      </c>
    </row>
    <row r="8">
      <c r="A8" t="inlineStr">
        <is>
          <t>FY2033</t>
        </is>
      </c>
      <c r="B8" s="26" t="n">
        <v>501468</v>
      </c>
      <c r="C8" s="26" t="n">
        <v>405841</v>
      </c>
      <c r="D8" s="26" t="n">
        <v>0</v>
      </c>
      <c r="E8" s="26" t="n">
        <v>0</v>
      </c>
      <c r="F8" s="26" t="n">
        <v>0</v>
      </c>
      <c r="G8" s="26" t="n">
        <v>0</v>
      </c>
    </row>
    <row r="9">
      <c r="A9" t="inlineStr">
        <is>
          <t>FY2034</t>
        </is>
      </c>
      <c r="B9" s="26" t="n">
        <v>406818</v>
      </c>
      <c r="C9" s="26" t="n">
        <v>329698</v>
      </c>
      <c r="D9" s="26" t="n">
        <v>0</v>
      </c>
      <c r="E9" s="26" t="n">
        <v>0</v>
      </c>
      <c r="F9" s="26" t="n">
        <v>0</v>
      </c>
      <c r="G9" s="26" t="n">
        <v>0</v>
      </c>
    </row>
    <row r="10">
      <c r="A10" t="inlineStr">
        <is>
          <t>FY2035</t>
        </is>
      </c>
      <c r="B10" s="26" t="n">
        <v>331492</v>
      </c>
      <c r="C10" s="26" t="n">
        <v>284236</v>
      </c>
      <c r="D10" s="26" t="n">
        <v>0</v>
      </c>
      <c r="E10" s="26" t="n">
        <v>0</v>
      </c>
      <c r="F10" s="26" t="n">
        <v>0</v>
      </c>
      <c r="G10" s="26" t="n">
        <v>0</v>
      </c>
    </row>
    <row r="11">
      <c r="A11" t="inlineStr">
        <is>
          <t>FY2036</t>
        </is>
      </c>
      <c r="B11" s="26" t="n">
        <v>320909</v>
      </c>
      <c r="C11" s="26" t="n">
        <v>299903</v>
      </c>
      <c r="D11" s="26" t="n">
        <v>0</v>
      </c>
      <c r="E11" s="26" t="n">
        <v>0</v>
      </c>
      <c r="F11" s="26" t="n">
        <v>0</v>
      </c>
      <c r="G11" s="26" t="n">
        <v>0</v>
      </c>
    </row>
    <row r="12">
      <c r="A12" t="inlineStr">
        <is>
          <t>FY2037</t>
        </is>
      </c>
      <c r="B12" s="26" t="n">
        <v>367686</v>
      </c>
      <c r="C12" s="26" t="n">
        <v>318960</v>
      </c>
      <c r="D12" s="26" t="n">
        <v>0</v>
      </c>
      <c r="E12" s="26" t="n">
        <v>0</v>
      </c>
      <c r="F12" s="26" t="n">
        <v>0</v>
      </c>
      <c r="G12" s="26" t="n">
        <v>0</v>
      </c>
    </row>
    <row r="13">
      <c r="A13" t="inlineStr">
        <is>
          <t>FY2038</t>
        </is>
      </c>
      <c r="B13" s="26" t="n">
        <v>423420</v>
      </c>
      <c r="C13" s="26" t="n">
        <v>372652</v>
      </c>
      <c r="D13" s="26" t="n">
        <v>0</v>
      </c>
      <c r="E13" s="26" t="n">
        <v>0</v>
      </c>
      <c r="F13" s="26" t="n">
        <v>0</v>
      </c>
      <c r="G13" s="26" t="n">
        <v>0</v>
      </c>
    </row>
    <row r="14">
      <c r="A14" t="inlineStr">
        <is>
          <t>FY2039</t>
        </is>
      </c>
      <c r="B14" s="26" t="n">
        <v>464649</v>
      </c>
      <c r="C14" s="26" t="n">
        <v>390088</v>
      </c>
      <c r="D14" s="26" t="n">
        <v>0</v>
      </c>
      <c r="E14" s="26" t="n">
        <v>0</v>
      </c>
      <c r="F14" s="26" t="n">
        <v>0</v>
      </c>
      <c r="G14" s="26" t="n">
        <v>0</v>
      </c>
    </row>
    <row r="15">
      <c r="A15" t="inlineStr">
        <is>
          <t>FY2040</t>
        </is>
      </c>
      <c r="B15" s="26" t="n">
        <v>492716</v>
      </c>
      <c r="C15" s="26" t="n">
        <v>395070</v>
      </c>
      <c r="D15" s="26" t="n">
        <v>0</v>
      </c>
      <c r="E15" s="26" t="n">
        <v>0</v>
      </c>
      <c r="F15" s="26" t="n">
        <v>0</v>
      </c>
      <c r="G15" s="26" t="n">
        <v>0</v>
      </c>
    </row>
    <row r="16">
      <c r="A16" t="inlineStr">
        <is>
          <t>FY2041</t>
        </is>
      </c>
      <c r="B16" s="26" t="n">
        <v>275060</v>
      </c>
      <c r="C16" s="26" t="n">
        <v>141058</v>
      </c>
      <c r="D16" s="26" t="n">
        <v>0</v>
      </c>
      <c r="E16" s="26" t="n">
        <v>0</v>
      </c>
      <c r="F16" s="26" t="n">
        <v>0</v>
      </c>
      <c r="G16" s="26" t="n">
        <v>0</v>
      </c>
    </row>
    <row r="17">
      <c r="A17" t="inlineStr">
        <is>
          <t>FY2042</t>
        </is>
      </c>
      <c r="B17" s="26" t="n">
        <v>207383</v>
      </c>
      <c r="C17" s="26" t="n">
        <v>101100</v>
      </c>
      <c r="D17" s="26" t="n">
        <v>0</v>
      </c>
      <c r="E17" s="26" t="n">
        <v>0</v>
      </c>
      <c r="F17" s="26" t="n">
        <v>0</v>
      </c>
      <c r="G17" s="26" t="n">
        <v>0</v>
      </c>
    </row>
    <row r="18">
      <c r="A18" s="16" t="inlineStr">
        <is>
          <t>Total</t>
        </is>
      </c>
      <c r="B18" s="17">
        <f>SUM(B3:B17)</f>
        <v>5841148</v>
      </c>
      <c r="C18" s="17">
        <f>SUM(C3:C17)</f>
        <v>4793716</v>
      </c>
      <c r="D18" s="17">
        <f>SUM(D3:D17)</f>
        <v>130056</v>
      </c>
      <c r="E18" s="17">
        <f>SUM(E3:E17)</f>
        <v>130056</v>
      </c>
      <c r="F18" s="17">
        <f>SUM(F3:F17)</f>
        <v>130056</v>
      </c>
      <c r="G18" s="17">
        <f>SUM(G3:G17)</f>
        <v>130056</v>
      </c>
    </row>
    <row r="20">
      <c r="A20" s="4" t="inlineStr">
        <is>
          <t>Debt service paid from funds</t>
        </is>
      </c>
      <c r="B20" s="33" t="inlineStr">
        <is>
          <t>Single-line plans route equipment-note payments through the equipment fund. Do not add to the Levy tab.</t>
        </is>
      </c>
    </row>
    <row r="21">
      <c r="A21" s="14" t="inlineStr">
        <is>
          <t>Fiscal year</t>
        </is>
      </c>
      <c r="B21" s="14" t="inlineStr">
        <is>
          <t>Current practice</t>
        </is>
      </c>
      <c r="C21" s="14" t="inlineStr">
        <is>
          <t>Save $50,000 more a year</t>
        </is>
      </c>
      <c r="D21" s="14" t="inlineStr">
        <is>
          <t>Phased start from $300k (reaches $500k in FY2032)</t>
        </is>
      </c>
      <c r="E21" s="14" t="inlineStr">
        <is>
          <t>Break even by 2042 ($500k/yr)</t>
        </is>
      </c>
      <c r="F21" s="14" t="inlineStr">
        <is>
          <t>Step up to $530k/yr (by FY2030)</t>
        </is>
      </c>
      <c r="G21" s="14" t="inlineStr">
        <is>
          <t>Full pre-funding ($565k/yr)</t>
        </is>
      </c>
    </row>
    <row r="22">
      <c r="A22" t="inlineStr">
        <is>
          <t>FY2028</t>
        </is>
      </c>
      <c r="B22" s="26" t="n">
        <v>0</v>
      </c>
      <c r="C22" s="26" t="n">
        <v>0</v>
      </c>
      <c r="D22" s="26" t="n">
        <v>51653</v>
      </c>
      <c r="E22" s="26" t="n">
        <v>51653</v>
      </c>
      <c r="F22" s="26" t="n">
        <v>51653</v>
      </c>
      <c r="G22" s="26" t="n">
        <v>51653</v>
      </c>
    </row>
    <row r="23">
      <c r="A23" t="inlineStr">
        <is>
          <t>FY2029</t>
        </is>
      </c>
      <c r="B23" s="26" t="n">
        <v>0</v>
      </c>
      <c r="C23" s="26" t="n">
        <v>0</v>
      </c>
      <c r="D23" s="26" t="n">
        <v>319571</v>
      </c>
      <c r="E23" s="26" t="n">
        <v>320488</v>
      </c>
      <c r="F23" s="26" t="n">
        <v>329241</v>
      </c>
      <c r="G23" s="26" t="n">
        <v>346718</v>
      </c>
    </row>
    <row r="24">
      <c r="A24" t="inlineStr">
        <is>
          <t>FY2030</t>
        </is>
      </c>
      <c r="B24" s="26" t="n">
        <v>0</v>
      </c>
      <c r="C24" s="26" t="n">
        <v>0</v>
      </c>
      <c r="D24" s="26" t="n">
        <v>387715</v>
      </c>
      <c r="E24" s="26" t="n">
        <v>370470</v>
      </c>
      <c r="F24" s="26" t="n">
        <v>382763</v>
      </c>
      <c r="G24" s="26" t="n">
        <v>386955</v>
      </c>
    </row>
    <row r="25">
      <c r="A25" t="inlineStr">
        <is>
          <t>FY2031</t>
        </is>
      </c>
      <c r="B25" s="26" t="n">
        <v>0</v>
      </c>
      <c r="C25" s="26" t="n">
        <v>0</v>
      </c>
      <c r="D25" s="26" t="n">
        <v>408739</v>
      </c>
      <c r="E25" s="26" t="n">
        <v>401369</v>
      </c>
      <c r="F25" s="26" t="n">
        <v>409573</v>
      </c>
      <c r="G25" s="26" t="n">
        <v>406648</v>
      </c>
    </row>
    <row r="26">
      <c r="A26" t="inlineStr">
        <is>
          <t>FY2032</t>
        </is>
      </c>
      <c r="B26" s="26" t="n">
        <v>0</v>
      </c>
      <c r="C26" s="26" t="n">
        <v>0</v>
      </c>
      <c r="D26" s="26" t="n">
        <v>452951</v>
      </c>
      <c r="E26" s="26" t="n">
        <v>399783</v>
      </c>
      <c r="F26" s="26" t="n">
        <v>407987</v>
      </c>
      <c r="G26" s="26" t="n">
        <v>405062</v>
      </c>
    </row>
    <row r="27">
      <c r="A27" t="inlineStr">
        <is>
          <t>FY2033</t>
        </is>
      </c>
      <c r="B27" s="26" t="n">
        <v>0</v>
      </c>
      <c r="C27" s="26" t="n">
        <v>0</v>
      </c>
      <c r="D27" s="26" t="n">
        <v>451365</v>
      </c>
      <c r="E27" s="26" t="n">
        <v>398197</v>
      </c>
      <c r="F27" s="26" t="n">
        <v>406400</v>
      </c>
      <c r="G27" s="26" t="n">
        <v>403475</v>
      </c>
    </row>
    <row r="28">
      <c r="A28" t="inlineStr">
        <is>
          <t>FY2034</t>
        </is>
      </c>
      <c r="B28" s="26" t="n">
        <v>0</v>
      </c>
      <c r="C28" s="26" t="n">
        <v>0</v>
      </c>
      <c r="D28" s="26" t="n">
        <v>380082</v>
      </c>
      <c r="E28" s="26" t="n">
        <v>362253</v>
      </c>
      <c r="F28" s="26" t="n">
        <v>360464</v>
      </c>
      <c r="G28" s="26" t="n">
        <v>294846</v>
      </c>
    </row>
    <row r="29">
      <c r="A29" t="inlineStr">
        <is>
          <t>FY2035</t>
        </is>
      </c>
      <c r="B29" s="26" t="n">
        <v>0</v>
      </c>
      <c r="C29" s="26" t="n">
        <v>0</v>
      </c>
      <c r="D29" s="26" t="n">
        <v>306466</v>
      </c>
      <c r="E29" s="26" t="n">
        <v>306798</v>
      </c>
      <c r="F29" s="26" t="n">
        <v>301468</v>
      </c>
      <c r="G29" s="26" t="n">
        <v>249137</v>
      </c>
    </row>
    <row r="30">
      <c r="A30" t="inlineStr">
        <is>
          <t>FY2036</t>
        </is>
      </c>
      <c r="B30" s="26" t="n">
        <v>0</v>
      </c>
      <c r="C30" s="26" t="n">
        <v>0</v>
      </c>
      <c r="D30" s="26" t="n">
        <v>324169</v>
      </c>
      <c r="E30" s="26" t="n">
        <v>296722</v>
      </c>
      <c r="F30" s="26" t="n">
        <v>283857</v>
      </c>
      <c r="G30" s="26" t="n">
        <v>210508</v>
      </c>
    </row>
    <row r="31">
      <c r="A31" t="inlineStr">
        <is>
          <t>FY2037</t>
        </is>
      </c>
      <c r="B31" s="26" t="n">
        <v>0</v>
      </c>
      <c r="C31" s="26" t="n">
        <v>0</v>
      </c>
      <c r="D31" s="26" t="n">
        <v>298129</v>
      </c>
      <c r="E31" s="26" t="n">
        <v>308611</v>
      </c>
      <c r="F31" s="26" t="n">
        <v>285246</v>
      </c>
      <c r="G31" s="26" t="n">
        <v>189608</v>
      </c>
    </row>
    <row r="32">
      <c r="A32" t="inlineStr">
        <is>
          <t>FY2038</t>
        </is>
      </c>
      <c r="B32" s="26" t="n">
        <v>0</v>
      </c>
      <c r="C32" s="26" t="n">
        <v>0</v>
      </c>
      <c r="D32" s="26" t="n">
        <v>352343</v>
      </c>
      <c r="E32" s="26" t="n">
        <v>364699</v>
      </c>
      <c r="F32" s="26" t="n">
        <v>334134</v>
      </c>
      <c r="G32" s="26" t="n">
        <v>189608</v>
      </c>
    </row>
    <row r="33">
      <c r="A33" t="inlineStr">
        <is>
          <t>FY2039</t>
        </is>
      </c>
      <c r="B33" s="26" t="n">
        <v>0</v>
      </c>
      <c r="C33" s="26" t="n">
        <v>0</v>
      </c>
      <c r="D33" s="26" t="n">
        <v>375851</v>
      </c>
      <c r="E33" s="26" t="n">
        <v>390742</v>
      </c>
      <c r="F33" s="26" t="n">
        <v>350492</v>
      </c>
      <c r="G33" s="26" t="n">
        <v>189608</v>
      </c>
    </row>
    <row r="34">
      <c r="A34" t="inlineStr">
        <is>
          <t>FY2040</t>
        </is>
      </c>
      <c r="B34" s="26" t="n">
        <v>0</v>
      </c>
      <c r="C34" s="26" t="n">
        <v>0</v>
      </c>
      <c r="D34" s="26" t="n">
        <v>375851</v>
      </c>
      <c r="E34" s="26" t="n">
        <v>390742</v>
      </c>
      <c r="F34" s="26" t="n">
        <v>350492</v>
      </c>
      <c r="G34" s="26" t="n">
        <v>189608</v>
      </c>
    </row>
    <row r="35">
      <c r="A35" t="inlineStr">
        <is>
          <t>FY2041</t>
        </is>
      </c>
      <c r="B35" s="26" t="n">
        <v>0</v>
      </c>
      <c r="C35" s="26" t="n">
        <v>0</v>
      </c>
      <c r="D35" s="26" t="n">
        <v>215435</v>
      </c>
      <c r="E35" s="26" t="n">
        <v>210922</v>
      </c>
      <c r="F35" s="26" t="n">
        <v>144808</v>
      </c>
      <c r="G35" s="26" t="n">
        <v>0</v>
      </c>
    </row>
    <row r="36">
      <c r="A36" t="inlineStr">
        <is>
          <t>FY2042</t>
        </is>
      </c>
      <c r="B36" s="26" t="n">
        <v>0</v>
      </c>
      <c r="C36" s="26" t="n">
        <v>0</v>
      </c>
      <c r="D36" s="26" t="n">
        <v>174776</v>
      </c>
      <c r="E36" s="26" t="n">
        <v>178132</v>
      </c>
      <c r="F36" s="26" t="n">
        <v>122520</v>
      </c>
      <c r="G36" s="26" t="n">
        <v>0</v>
      </c>
    </row>
    <row r="37">
      <c r="A37" s="16" t="inlineStr">
        <is>
          <t>Total</t>
        </is>
      </c>
      <c r="B37" s="17">
        <f>SUM(B22:B36)</f>
        <v>0</v>
      </c>
      <c r="C37" s="17">
        <f>SUM(C22:C36)</f>
        <v>0</v>
      </c>
      <c r="D37" s="17">
        <f>SUM(D22:D36)</f>
        <v>4875096</v>
      </c>
      <c r="E37" s="17">
        <f>SUM(E22:E36)</f>
        <v>4751581</v>
      </c>
      <c r="F37" s="17">
        <f>SUM(F22:F36)</f>
        <v>4521098</v>
      </c>
      <c r="G37" s="17">
        <f>SUM(G22:G36)</f>
        <v>3513434</v>
      </c>
    </row>
    <row r="39">
      <c r="A39" s="4" t="inlineStr">
        <is>
          <t>New borrowing</t>
        </is>
      </c>
    </row>
    <row r="40">
      <c r="A40" s="14" t="inlineStr">
        <is>
          <t>Fiscal year</t>
        </is>
      </c>
      <c r="B40" s="14" t="inlineStr">
        <is>
          <t>Current practice</t>
        </is>
      </c>
      <c r="C40" s="14" t="inlineStr">
        <is>
          <t>Save $50,000 more a year</t>
        </is>
      </c>
      <c r="D40" s="14" t="inlineStr">
        <is>
          <t>Phased start from $300k (reaches $500k in FY2032)</t>
        </is>
      </c>
      <c r="E40" s="14" t="inlineStr">
        <is>
          <t>Break even by 2042 ($500k/yr)</t>
        </is>
      </c>
      <c r="F40" s="14" t="inlineStr">
        <is>
          <t>Step up to $530k/yr (by FY2030)</t>
        </is>
      </c>
      <c r="G40" s="14" t="inlineStr">
        <is>
          <t>Full pre-funding ($565k/yr)</t>
        </is>
      </c>
    </row>
    <row r="41">
      <c r="A41" t="inlineStr">
        <is>
          <t>FY2028</t>
        </is>
      </c>
      <c r="B41" s="26" t="n">
        <v>2764669</v>
      </c>
      <c r="C41" s="26" t="n">
        <v>2517598</v>
      </c>
      <c r="D41" s="26" t="n">
        <v>2176957</v>
      </c>
      <c r="E41" s="26" t="n">
        <v>2364222</v>
      </c>
      <c r="F41" s="26" t="n">
        <v>2395851</v>
      </c>
      <c r="G41" s="26" t="n">
        <v>2242926</v>
      </c>
    </row>
    <row r="42">
      <c r="A42" t="inlineStr">
        <is>
          <t>FY2029</t>
        </is>
      </c>
      <c r="B42" s="26" t="n">
        <v>306000</v>
      </c>
      <c r="C42" s="26" t="n">
        <v>180000</v>
      </c>
      <c r="D42" s="26" t="n">
        <v>298697</v>
      </c>
      <c r="E42" s="26" t="n">
        <v>223265</v>
      </c>
      <c r="F42" s="26" t="n">
        <v>238593</v>
      </c>
      <c r="G42" s="26" t="n">
        <v>181070</v>
      </c>
    </row>
    <row r="43">
      <c r="A43" t="inlineStr">
        <is>
          <t>FY2030</t>
        </is>
      </c>
      <c r="B43" s="26" t="n">
        <v>178500</v>
      </c>
      <c r="C43" s="26" t="n">
        <v>52500</v>
      </c>
      <c r="D43" s="26" t="n">
        <v>97891</v>
      </c>
      <c r="E43" s="26" t="n">
        <v>140646</v>
      </c>
      <c r="F43" s="26" t="n">
        <v>122939</v>
      </c>
      <c r="G43" s="26" t="n">
        <v>92131</v>
      </c>
    </row>
    <row r="44">
      <c r="A44" t="inlineStr">
        <is>
          <t>FY2031</t>
        </is>
      </c>
      <c r="B44" s="26" t="n">
        <v>0</v>
      </c>
      <c r="C44" s="26" t="n">
        <v>0</v>
      </c>
      <c r="D44" s="26" t="n">
        <v>198286</v>
      </c>
      <c r="E44" s="26" t="n">
        <v>0</v>
      </c>
      <c r="F44" s="26" t="n">
        <v>0</v>
      </c>
      <c r="G44" s="26" t="n">
        <v>0</v>
      </c>
    </row>
    <row r="45">
      <c r="A45" t="inlineStr">
        <is>
          <t>FY2032</t>
        </is>
      </c>
      <c r="B45" s="26" t="n">
        <v>0</v>
      </c>
      <c r="C45" s="26" t="n">
        <v>0</v>
      </c>
      <c r="D45" s="26" t="n">
        <v>0</v>
      </c>
      <c r="E45" s="26" t="n">
        <v>0</v>
      </c>
      <c r="F45" s="26" t="n">
        <v>0</v>
      </c>
      <c r="G45" s="26" t="n">
        <v>0</v>
      </c>
    </row>
    <row r="46">
      <c r="A46" t="inlineStr">
        <is>
          <t>FY2033</t>
        </is>
      </c>
      <c r="B46" s="26" t="n">
        <v>0</v>
      </c>
      <c r="C46" s="26" t="n">
        <v>0</v>
      </c>
      <c r="D46" s="26" t="n">
        <v>0</v>
      </c>
      <c r="E46" s="26" t="n">
        <v>0</v>
      </c>
      <c r="F46" s="26" t="n">
        <v>0</v>
      </c>
      <c r="G46" s="26" t="n">
        <v>0</v>
      </c>
    </row>
    <row r="47">
      <c r="A47" t="inlineStr">
        <is>
          <t>FY2034</t>
        </is>
      </c>
      <c r="B47" s="26" t="n">
        <v>0</v>
      </c>
      <c r="C47" s="26" t="n">
        <v>0</v>
      </c>
      <c r="D47" s="26" t="n">
        <v>0</v>
      </c>
      <c r="E47" s="26" t="n">
        <v>0</v>
      </c>
      <c r="F47" s="26" t="n">
        <v>0</v>
      </c>
      <c r="G47" s="26" t="n">
        <v>0</v>
      </c>
    </row>
    <row r="48">
      <c r="A48" t="inlineStr">
        <is>
          <t>FY2035</t>
        </is>
      </c>
      <c r="B48" s="26" t="n">
        <v>450438</v>
      </c>
      <c r="C48" s="26" t="n">
        <v>195440</v>
      </c>
      <c r="D48" s="26" t="n">
        <v>492295</v>
      </c>
      <c r="E48" s="26" t="n">
        <v>373139</v>
      </c>
      <c r="F48" s="26" t="n">
        <v>264035</v>
      </c>
      <c r="G48" s="26" t="n">
        <v>0</v>
      </c>
    </row>
    <row r="49">
      <c r="A49" t="inlineStr">
        <is>
          <t>FY2036</t>
        </is>
      </c>
      <c r="B49" s="26" t="n">
        <v>289000</v>
      </c>
      <c r="C49" s="26" t="n">
        <v>172994</v>
      </c>
      <c r="D49" s="26" t="n">
        <v>176030</v>
      </c>
      <c r="E49" s="26" t="n">
        <v>141960</v>
      </c>
      <c r="F49" s="26" t="n">
        <v>96497</v>
      </c>
      <c r="G49" s="26" t="n">
        <v>0</v>
      </c>
    </row>
    <row r="50">
      <c r="A50" t="inlineStr">
        <is>
          <t>FY2037</t>
        </is>
      </c>
      <c r="B50" s="26" t="n">
        <v>238000</v>
      </c>
      <c r="C50" s="26" t="n">
        <v>232456</v>
      </c>
      <c r="D50" s="26" t="n">
        <v>234721</v>
      </c>
      <c r="E50" s="26" t="n">
        <v>242833</v>
      </c>
      <c r="F50" s="26" t="n">
        <v>211663</v>
      </c>
      <c r="G50" s="26" t="n">
        <v>0</v>
      </c>
    </row>
    <row r="51">
      <c r="A51" t="inlineStr">
        <is>
          <t>FY2038</t>
        </is>
      </c>
      <c r="B51" s="26" t="n">
        <v>178500</v>
      </c>
      <c r="C51" s="26" t="n">
        <v>75488</v>
      </c>
      <c r="D51" s="26" t="n">
        <v>101774</v>
      </c>
      <c r="E51" s="26" t="n">
        <v>112749</v>
      </c>
      <c r="F51" s="26" t="n">
        <v>70820</v>
      </c>
      <c r="G51" s="26" t="n">
        <v>0</v>
      </c>
    </row>
    <row r="52">
      <c r="A52" t="inlineStr">
        <is>
          <t>FY2039</t>
        </is>
      </c>
      <c r="B52" s="26" t="n">
        <v>121515</v>
      </c>
      <c r="C52" s="26" t="n">
        <v>21572</v>
      </c>
      <c r="D52" s="26" t="n">
        <v>0</v>
      </c>
      <c r="E52" s="26" t="n">
        <v>0</v>
      </c>
      <c r="F52" s="26" t="n">
        <v>0</v>
      </c>
      <c r="G52" s="26" t="n">
        <v>0</v>
      </c>
    </row>
    <row r="53">
      <c r="A53" t="inlineStr">
        <is>
          <t>FY2040</t>
        </is>
      </c>
      <c r="B53" s="26" t="n">
        <v>148750</v>
      </c>
      <c r="C53" s="26" t="n">
        <v>108196</v>
      </c>
      <c r="D53" s="26" t="n">
        <v>212402</v>
      </c>
      <c r="E53" s="26" t="n">
        <v>243504</v>
      </c>
      <c r="F53" s="26" t="n">
        <v>126160</v>
      </c>
      <c r="G53" s="26" t="n">
        <v>0</v>
      </c>
    </row>
    <row r="54">
      <c r="A54" t="inlineStr">
        <is>
          <t>FY2041</t>
        </is>
      </c>
      <c r="B54" s="26" t="n">
        <v>0</v>
      </c>
      <c r="C54" s="26" t="n">
        <v>0</v>
      </c>
      <c r="D54" s="26" t="n">
        <v>0</v>
      </c>
      <c r="E54" s="26" t="n">
        <v>0</v>
      </c>
      <c r="F54" s="26" t="n">
        <v>0</v>
      </c>
      <c r="G54" s="26" t="n">
        <v>0</v>
      </c>
    </row>
    <row r="55">
      <c r="A55" t="inlineStr">
        <is>
          <t>FY2042</t>
        </is>
      </c>
      <c r="B55" s="26" t="n">
        <v>246500</v>
      </c>
      <c r="C55" s="26" t="n">
        <v>0</v>
      </c>
      <c r="D55" s="26" t="n">
        <v>0</v>
      </c>
      <c r="E55" s="26" t="n">
        <v>0</v>
      </c>
      <c r="F55" s="26" t="n">
        <v>0</v>
      </c>
      <c r="G55" s="26" t="n">
        <v>0</v>
      </c>
    </row>
    <row r="56">
      <c r="A56" s="16" t="inlineStr">
        <is>
          <t>Total</t>
        </is>
      </c>
      <c r="B56" s="17">
        <f>SUM(B41:B55)</f>
        <v>4921872</v>
      </c>
      <c r="C56" s="17">
        <f>SUM(C41:C55)</f>
        <v>3556244</v>
      </c>
      <c r="D56" s="17">
        <f>SUM(D41:D55)</f>
        <v>3989053</v>
      </c>
      <c r="E56" s="17">
        <f>SUM(E41:E55)</f>
        <v>3842318</v>
      </c>
      <c r="F56" s="17">
        <f>SUM(F41:F55)</f>
        <v>3526558</v>
      </c>
      <c r="G56" s="17">
        <f>SUM(G41:G55)</f>
        <v>2516127</v>
      </c>
    </row>
    <row r="58">
      <c r="A58" s="4" t="inlineStr">
        <is>
          <t>Interest paid on capital debt</t>
        </is>
      </c>
      <c r="B58" s="33" t="inlineStr">
        <is>
          <t>Notes, vendor installments, and bonds; the Summary total is the SUM of this block.</t>
        </is>
      </c>
    </row>
    <row r="59">
      <c r="A59" s="14" t="inlineStr">
        <is>
          <t>Fiscal year</t>
        </is>
      </c>
      <c r="B59" s="14" t="inlineStr">
        <is>
          <t>Current practice</t>
        </is>
      </c>
      <c r="C59" s="14" t="inlineStr">
        <is>
          <t>Save $50,000 more a year</t>
        </is>
      </c>
      <c r="D59" s="14" t="inlineStr">
        <is>
          <t>Phased start from $300k (reaches $500k in FY2032)</t>
        </is>
      </c>
      <c r="E59" s="14" t="inlineStr">
        <is>
          <t>Break even by 2042 ($500k/yr)</t>
        </is>
      </c>
      <c r="F59" s="14" t="inlineStr">
        <is>
          <t>Step up to $530k/yr (by FY2030)</t>
        </is>
      </c>
      <c r="G59" s="14" t="inlineStr">
        <is>
          <t>Full pre-funding ($565k/yr)</t>
        </is>
      </c>
    </row>
    <row r="60">
      <c r="A60" t="inlineStr">
        <is>
          <t>FY2028</t>
        </is>
      </c>
      <c r="B60" s="26" t="n">
        <v>18081</v>
      </c>
      <c r="C60" s="26" t="n">
        <v>18081</v>
      </c>
      <c r="D60" s="26" t="n">
        <v>18081</v>
      </c>
      <c r="E60" s="26" t="n">
        <v>18081</v>
      </c>
      <c r="F60" s="26" t="n">
        <v>18081</v>
      </c>
      <c r="G60" s="26" t="n">
        <v>18081</v>
      </c>
    </row>
    <row r="61">
      <c r="A61" t="inlineStr">
        <is>
          <t>FY2029</t>
        </is>
      </c>
      <c r="B61" s="26" t="n">
        <v>130633</v>
      </c>
      <c r="C61" s="26" t="n">
        <v>118751</v>
      </c>
      <c r="D61" s="26" t="n">
        <v>104915</v>
      </c>
      <c r="E61" s="26" t="n">
        <v>110875</v>
      </c>
      <c r="F61" s="26" t="n">
        <v>112573</v>
      </c>
      <c r="G61" s="26" t="n">
        <v>109170</v>
      </c>
    </row>
    <row r="62">
      <c r="A62" t="inlineStr">
        <is>
          <t>FY2030</t>
        </is>
      </c>
      <c r="B62" s="26" t="n">
        <v>133751</v>
      </c>
      <c r="C62" s="26" t="n">
        <v>115725</v>
      </c>
      <c r="D62" s="26" t="n">
        <v>110018</v>
      </c>
      <c r="E62" s="26" t="n">
        <v>111532</v>
      </c>
      <c r="F62" s="26" t="n">
        <v>113636</v>
      </c>
      <c r="G62" s="26" t="n">
        <v>106031</v>
      </c>
    </row>
    <row r="63">
      <c r="A63" t="inlineStr">
        <is>
          <t>FY2031</t>
        </is>
      </c>
      <c r="B63" s="26" t="n">
        <v>125888</v>
      </c>
      <c r="C63" s="26" t="n">
        <v>104315</v>
      </c>
      <c r="D63" s="26" t="n">
        <v>100703</v>
      </c>
      <c r="E63" s="26" t="n">
        <v>105735</v>
      </c>
      <c r="F63" s="26" t="n">
        <v>106436</v>
      </c>
      <c r="G63" s="26" t="n">
        <v>96407</v>
      </c>
    </row>
    <row r="64">
      <c r="A64" t="inlineStr">
        <is>
          <t>FY2032</t>
        </is>
      </c>
      <c r="B64" s="26" t="n">
        <v>108526</v>
      </c>
      <c r="C64" s="26" t="n">
        <v>91004</v>
      </c>
      <c r="D64" s="26" t="n">
        <v>96691</v>
      </c>
      <c r="E64" s="26" t="n">
        <v>92892</v>
      </c>
      <c r="F64" s="26" t="n">
        <v>93209</v>
      </c>
      <c r="G64" s="26" t="n">
        <v>82519</v>
      </c>
    </row>
    <row r="65">
      <c r="A65" t="inlineStr">
        <is>
          <t>FY2033</t>
        </is>
      </c>
      <c r="B65" s="26" t="n">
        <v>90417</v>
      </c>
      <c r="C65" s="26" t="n">
        <v>77169</v>
      </c>
      <c r="D65" s="26" t="n">
        <v>80395</v>
      </c>
      <c r="E65" s="26" t="n">
        <v>79549</v>
      </c>
      <c r="F65" s="26" t="n">
        <v>79464</v>
      </c>
      <c r="G65" s="26" t="n">
        <v>68068</v>
      </c>
    </row>
    <row r="66">
      <c r="A66" t="inlineStr">
        <is>
          <t>FY2034</t>
        </is>
      </c>
      <c r="B66" s="26" t="n">
        <v>71526</v>
      </c>
      <c r="C66" s="26" t="n">
        <v>62788</v>
      </c>
      <c r="D66" s="26" t="n">
        <v>63408</v>
      </c>
      <c r="E66" s="26" t="n">
        <v>65686</v>
      </c>
      <c r="F66" s="26" t="n">
        <v>65176</v>
      </c>
      <c r="G66" s="26" t="n">
        <v>53027</v>
      </c>
    </row>
    <row r="67">
      <c r="A67" t="inlineStr">
        <is>
          <t>FY2035</t>
        </is>
      </c>
      <c r="B67" s="26" t="n">
        <v>56756</v>
      </c>
      <c r="C67" s="26" t="n">
        <v>51564</v>
      </c>
      <c r="D67" s="26" t="n">
        <v>49180</v>
      </c>
      <c r="E67" s="26" t="n">
        <v>52995</v>
      </c>
      <c r="F67" s="26" t="n">
        <v>52540</v>
      </c>
      <c r="G67" s="26" t="n">
        <v>42720</v>
      </c>
    </row>
    <row r="68">
      <c r="A68" t="inlineStr">
        <is>
          <t>FY2036</t>
        </is>
      </c>
      <c r="B68" s="26" t="n">
        <v>63394</v>
      </c>
      <c r="C68" s="26" t="n">
        <v>51916</v>
      </c>
      <c r="D68" s="26" t="n">
        <v>58371</v>
      </c>
      <c r="E68" s="26" t="n">
        <v>57462</v>
      </c>
      <c r="F68" s="26" t="n">
        <v>52877</v>
      </c>
      <c r="G68" s="26" t="n">
        <v>34264</v>
      </c>
    </row>
    <row r="69">
      <c r="A69" t="inlineStr">
        <is>
          <t>FY2037</t>
        </is>
      </c>
      <c r="B69" s="26" t="n">
        <v>69305</v>
      </c>
      <c r="C69" s="26" t="n">
        <v>50609</v>
      </c>
      <c r="D69" s="26" t="n">
        <v>56345</v>
      </c>
      <c r="E69" s="26" t="n">
        <v>55306</v>
      </c>
      <c r="F69" s="26" t="n">
        <v>48779</v>
      </c>
      <c r="G69" s="26" t="n">
        <v>27530</v>
      </c>
    </row>
    <row r="70">
      <c r="A70" t="inlineStr">
        <is>
          <t>FY2038</t>
        </is>
      </c>
      <c r="B70" s="26" t="n">
        <v>69683</v>
      </c>
      <c r="C70" s="26" t="n">
        <v>50813</v>
      </c>
      <c r="D70" s="26" t="n">
        <v>58012</v>
      </c>
      <c r="E70" s="26" t="n">
        <v>57058</v>
      </c>
      <c r="F70" s="26" t="n">
        <v>49729</v>
      </c>
      <c r="G70" s="26" t="n">
        <v>21047</v>
      </c>
    </row>
    <row r="71">
      <c r="A71" t="inlineStr">
        <is>
          <t>FY2039</t>
        </is>
      </c>
      <c r="B71" s="26" t="n">
        <v>62999</v>
      </c>
      <c r="C71" s="26" t="n">
        <v>40575</v>
      </c>
      <c r="D71" s="26" t="n">
        <v>50484</v>
      </c>
      <c r="E71" s="26" t="n">
        <v>49681</v>
      </c>
      <c r="F71" s="26" t="n">
        <v>41327</v>
      </c>
      <c r="G71" s="26" t="n">
        <v>14305</v>
      </c>
    </row>
    <row r="72">
      <c r="A72" t="inlineStr">
        <is>
          <t>FY2040</t>
        </is>
      </c>
      <c r="B72" s="26" t="n">
        <v>51147</v>
      </c>
      <c r="C72" s="26" t="n">
        <v>26340</v>
      </c>
      <c r="D72" s="26" t="n">
        <v>36401</v>
      </c>
      <c r="E72" s="26" t="n">
        <v>35090</v>
      </c>
      <c r="F72" s="26" t="n">
        <v>28237</v>
      </c>
      <c r="G72" s="26" t="n">
        <v>7294</v>
      </c>
    </row>
    <row r="73">
      <c r="A73" t="inlineStr">
        <is>
          <t>FY2041</t>
        </is>
      </c>
      <c r="B73" s="26" t="n">
        <v>38738</v>
      </c>
      <c r="C73" s="26" t="n">
        <v>15562</v>
      </c>
      <c r="D73" s="26" t="n">
        <v>32320</v>
      </c>
      <c r="E73" s="26" t="n">
        <v>32042</v>
      </c>
      <c r="F73" s="26" t="n">
        <v>20896</v>
      </c>
      <c r="G73" s="26" t="n">
        <v>0</v>
      </c>
    </row>
    <row r="74">
      <c r="A74" t="inlineStr">
        <is>
          <t>FY2042</t>
        </is>
      </c>
      <c r="B74" s="26" t="n">
        <v>26716</v>
      </c>
      <c r="C74" s="26" t="n">
        <v>9287</v>
      </c>
      <c r="D74" s="26" t="n">
        <v>23529</v>
      </c>
      <c r="E74" s="26" t="n">
        <v>23401</v>
      </c>
      <c r="F74" s="26" t="n">
        <v>14914</v>
      </c>
      <c r="G74" s="26" t="n">
        <v>0</v>
      </c>
    </row>
    <row r="75">
      <c r="A75" s="16" t="inlineStr">
        <is>
          <t>Total</t>
        </is>
      </c>
      <c r="B75" s="17">
        <f>SUM(B60:B74)</f>
        <v>1117560</v>
      </c>
      <c r="C75" s="17">
        <f>SUM(C60:C74)</f>
        <v>884499</v>
      </c>
      <c r="D75" s="17">
        <f>SUM(D60:D74)</f>
        <v>938853</v>
      </c>
      <c r="E75" s="17">
        <f>SUM(E60:E74)</f>
        <v>947385</v>
      </c>
      <c r="F75" s="17">
        <f>SUM(F60:F74)</f>
        <v>897874</v>
      </c>
      <c r="G75" s="17">
        <f>SUM(G60:G74)</f>
        <v>680463</v>
      </c>
    </row>
    <row r="77">
      <c r="A77" s="4" t="inlineStr">
        <is>
          <t>Interest earned on reserves</t>
        </is>
      </c>
      <c r="B77" s="33" t="inlineStr">
        <is>
          <t>At the base reserve rate on all fund balances, including parked bond proceeds.</t>
        </is>
      </c>
    </row>
    <row r="78">
      <c r="A78" s="14" t="inlineStr">
        <is>
          <t>Fiscal year</t>
        </is>
      </c>
      <c r="B78" s="14" t="inlineStr">
        <is>
          <t>Current practice</t>
        </is>
      </c>
      <c r="C78" s="14" t="inlineStr">
        <is>
          <t>Save $50,000 more a year</t>
        </is>
      </c>
      <c r="D78" s="14" t="inlineStr">
        <is>
          <t>Phased start from $300k (reaches $500k in FY2032)</t>
        </is>
      </c>
      <c r="E78" s="14" t="inlineStr">
        <is>
          <t>Break even by 2042 ($500k/yr)</t>
        </is>
      </c>
      <c r="F78" s="14" t="inlineStr">
        <is>
          <t>Step up to $530k/yr (by FY2030)</t>
        </is>
      </c>
      <c r="G78" s="14" t="inlineStr">
        <is>
          <t>Full pre-funding ($565k/yr)</t>
        </is>
      </c>
    </row>
    <row r="79">
      <c r="A79" t="inlineStr">
        <is>
          <t>FY2028</t>
        </is>
      </c>
      <c r="B79" s="26" t="n">
        <v>2392</v>
      </c>
      <c r="C79" s="26" t="n">
        <v>2392</v>
      </c>
      <c r="D79" s="26" t="n">
        <v>2392</v>
      </c>
      <c r="E79" s="26" t="n">
        <v>2392</v>
      </c>
      <c r="F79" s="26" t="n">
        <v>2392</v>
      </c>
      <c r="G79" s="26" t="n">
        <v>2392</v>
      </c>
    </row>
    <row r="80">
      <c r="A80" t="inlineStr">
        <is>
          <t>FY2029</t>
        </is>
      </c>
      <c r="B80" s="26" t="n">
        <v>10449</v>
      </c>
      <c r="C80" s="26" t="n">
        <v>9070</v>
      </c>
      <c r="D80" s="26" t="n">
        <v>6945</v>
      </c>
      <c r="E80" s="26" t="n">
        <v>9611</v>
      </c>
      <c r="F80" s="26" t="n">
        <v>9459</v>
      </c>
      <c r="G80" s="26" t="n">
        <v>9193</v>
      </c>
    </row>
    <row r="81">
      <c r="A81" t="inlineStr">
        <is>
          <t>FY2030</t>
        </is>
      </c>
      <c r="B81" s="26" t="n">
        <v>10739</v>
      </c>
      <c r="C81" s="26" t="n">
        <v>8993</v>
      </c>
      <c r="D81" s="26" t="n">
        <v>6853</v>
      </c>
      <c r="E81" s="26" t="n">
        <v>9539</v>
      </c>
      <c r="F81" s="26" t="n">
        <v>9385</v>
      </c>
      <c r="G81" s="26" t="n">
        <v>9118</v>
      </c>
    </row>
    <row r="82">
      <c r="A82" t="inlineStr">
        <is>
          <t>FY2031</t>
        </is>
      </c>
      <c r="B82" s="26" t="n">
        <v>5551</v>
      </c>
      <c r="C82" s="26" t="n">
        <v>3261</v>
      </c>
      <c r="D82" s="26" t="n">
        <v>1106</v>
      </c>
      <c r="E82" s="26" t="n">
        <v>3810</v>
      </c>
      <c r="F82" s="26" t="n">
        <v>3655</v>
      </c>
      <c r="G82" s="26" t="n">
        <v>3386</v>
      </c>
    </row>
    <row r="83">
      <c r="A83" t="inlineStr">
        <is>
          <t>FY2032</t>
        </is>
      </c>
      <c r="B83" s="26" t="n">
        <v>2800</v>
      </c>
      <c r="C83" s="26" t="n">
        <v>1019</v>
      </c>
      <c r="D83" s="26" t="n">
        <v>974</v>
      </c>
      <c r="E83" s="26" t="n">
        <v>1030</v>
      </c>
      <c r="F83" s="26" t="n">
        <v>1027</v>
      </c>
      <c r="G83" s="26" t="n">
        <v>1021</v>
      </c>
    </row>
    <row r="84">
      <c r="A84" t="inlineStr">
        <is>
          <t>FY2033</t>
        </is>
      </c>
      <c r="B84" s="26" t="n">
        <v>3149</v>
      </c>
      <c r="C84" s="26" t="n">
        <v>1705</v>
      </c>
      <c r="D84" s="26" t="n">
        <v>778</v>
      </c>
      <c r="E84" s="26" t="n">
        <v>1186</v>
      </c>
      <c r="F84" s="26" t="n">
        <v>1335</v>
      </c>
      <c r="G84" s="26" t="n">
        <v>1595</v>
      </c>
    </row>
    <row r="85">
      <c r="A85" t="inlineStr">
        <is>
          <t>FY2034</t>
        </is>
      </c>
      <c r="B85" s="26" t="n">
        <v>3468</v>
      </c>
      <c r="C85" s="26" t="n">
        <v>2539</v>
      </c>
      <c r="D85" s="26" t="n">
        <v>724</v>
      </c>
      <c r="E85" s="26" t="n">
        <v>1497</v>
      </c>
      <c r="F85" s="26" t="n">
        <v>1800</v>
      </c>
      <c r="G85" s="26" t="n">
        <v>2328</v>
      </c>
    </row>
    <row r="86">
      <c r="A86" t="inlineStr">
        <is>
          <t>FY2035</t>
        </is>
      </c>
      <c r="B86" s="26" t="n">
        <v>4025</v>
      </c>
      <c r="C86" s="26" t="n">
        <v>3439</v>
      </c>
      <c r="D86" s="26" t="n">
        <v>1188</v>
      </c>
      <c r="E86" s="26" t="n">
        <v>2122</v>
      </c>
      <c r="F86" s="26" t="n">
        <v>2650</v>
      </c>
      <c r="G86" s="26" t="n">
        <v>3885</v>
      </c>
    </row>
    <row r="87">
      <c r="A87" t="inlineStr">
        <is>
          <t>FY2036</t>
        </is>
      </c>
      <c r="B87" s="26" t="n">
        <v>2544</v>
      </c>
      <c r="C87" s="26" t="n">
        <v>765</v>
      </c>
      <c r="D87" s="26" t="n">
        <v>719</v>
      </c>
      <c r="E87" s="26" t="n">
        <v>777</v>
      </c>
      <c r="F87" s="26" t="n">
        <v>773</v>
      </c>
      <c r="G87" s="26" t="n">
        <v>767</v>
      </c>
    </row>
    <row r="88">
      <c r="A88" t="inlineStr">
        <is>
          <t>FY2037</t>
        </is>
      </c>
      <c r="B88" s="26" t="n">
        <v>3094</v>
      </c>
      <c r="C88" s="26" t="n">
        <v>770</v>
      </c>
      <c r="D88" s="26" t="n">
        <v>724</v>
      </c>
      <c r="E88" s="26" t="n">
        <v>782</v>
      </c>
      <c r="F88" s="26" t="n">
        <v>779</v>
      </c>
      <c r="G88" s="26" t="n">
        <v>868</v>
      </c>
    </row>
    <row r="89">
      <c r="A89" t="inlineStr">
        <is>
          <t>FY2038</t>
        </is>
      </c>
      <c r="B89" s="26" t="n">
        <v>2913</v>
      </c>
      <c r="C89" s="26" t="n">
        <v>1059</v>
      </c>
      <c r="D89" s="26" t="n">
        <v>1209</v>
      </c>
      <c r="E89" s="26" t="n">
        <v>1251</v>
      </c>
      <c r="F89" s="26" t="n">
        <v>1403</v>
      </c>
      <c r="G89" s="26" t="n">
        <v>926</v>
      </c>
    </row>
    <row r="90">
      <c r="A90" t="inlineStr">
        <is>
          <t>FY2039</t>
        </is>
      </c>
      <c r="B90" s="26" t="n">
        <v>3465</v>
      </c>
      <c r="C90" s="26" t="n">
        <v>1227</v>
      </c>
      <c r="D90" s="26" t="n">
        <v>1364</v>
      </c>
      <c r="E90" s="26" t="n">
        <v>1397</v>
      </c>
      <c r="F90" s="26" t="n">
        <v>1680</v>
      </c>
      <c r="G90" s="26" t="n">
        <v>1961</v>
      </c>
    </row>
    <row r="91">
      <c r="A91" t="inlineStr">
        <is>
          <t>FY2040</t>
        </is>
      </c>
      <c r="B91" s="26" t="n">
        <v>3846</v>
      </c>
      <c r="C91" s="26" t="n">
        <v>1418</v>
      </c>
      <c r="D91" s="26" t="n">
        <v>1042</v>
      </c>
      <c r="E91" s="26" t="n">
        <v>971</v>
      </c>
      <c r="F91" s="26" t="n">
        <v>1748</v>
      </c>
      <c r="G91" s="26" t="n">
        <v>3402</v>
      </c>
    </row>
    <row r="92">
      <c r="A92" t="inlineStr">
        <is>
          <t>FY2041</t>
        </is>
      </c>
      <c r="B92" s="26" t="n">
        <v>3215</v>
      </c>
      <c r="C92" s="26" t="n">
        <v>836</v>
      </c>
      <c r="D92" s="26" t="n">
        <v>824</v>
      </c>
      <c r="E92" s="26" t="n">
        <v>865</v>
      </c>
      <c r="F92" s="26" t="n">
        <v>1318</v>
      </c>
      <c r="G92" s="26" t="n">
        <v>3472</v>
      </c>
    </row>
    <row r="93">
      <c r="A93" t="inlineStr">
        <is>
          <t>FY2042</t>
        </is>
      </c>
      <c r="B93" s="26" t="n">
        <v>3630</v>
      </c>
      <c r="C93" s="26" t="n">
        <v>1724</v>
      </c>
      <c r="D93" s="26" t="n">
        <v>2471</v>
      </c>
      <c r="E93" s="26" t="n">
        <v>2545</v>
      </c>
      <c r="F93" s="26" t="n">
        <v>3674</v>
      </c>
      <c r="G93" s="26" t="n">
        <v>7101</v>
      </c>
    </row>
    <row r="94">
      <c r="A94" s="16" t="inlineStr">
        <is>
          <t>Total</t>
        </is>
      </c>
      <c r="B94" s="17">
        <f>SUM(B79:B93)</f>
        <v>65280</v>
      </c>
      <c r="C94" s="17">
        <f>SUM(C79:C93)</f>
        <v>40217</v>
      </c>
      <c r="D94" s="17">
        <f>SUM(D79:D93)</f>
        <v>29313</v>
      </c>
      <c r="E94" s="17">
        <f>SUM(E79:E93)</f>
        <v>39775</v>
      </c>
      <c r="F94" s="17">
        <f>SUM(F79:F93)</f>
        <v>43078</v>
      </c>
      <c r="G94" s="17">
        <f>SUM(G79:G93)</f>
        <v>51415</v>
      </c>
    </row>
    <row r="96">
      <c r="A96" s="4" t="inlineStr">
        <is>
          <t>Fund balances, year-end (all funds)</t>
        </is>
      </c>
      <c r="B96" s="33" t="inlineStr">
        <is>
          <t>Live: the reserve-funds-plus-proceeds total from Funds by Plan — parked bond proceeds are borrowed cash, offset by the debt block below.</t>
        </is>
      </c>
    </row>
    <row r="97">
      <c r="A97" s="14" t="inlineStr">
        <is>
          <t>Fiscal year</t>
        </is>
      </c>
      <c r="B97" s="14" t="inlineStr">
        <is>
          <t>Current practice</t>
        </is>
      </c>
      <c r="C97" s="14" t="inlineStr">
        <is>
          <t>Save $50,000 more a year</t>
        </is>
      </c>
      <c r="D97" s="14" t="inlineStr">
        <is>
          <t>Phased start from $300k (reaches $500k in FY2032)</t>
        </is>
      </c>
      <c r="E97" s="14" t="inlineStr">
        <is>
          <t>Break even by 2042 ($500k/yr)</t>
        </is>
      </c>
      <c r="F97" s="14" t="inlineStr">
        <is>
          <t>Step up to $530k/yr (by FY2030)</t>
        </is>
      </c>
      <c r="G97" s="14" t="inlineStr">
        <is>
          <t>Full pre-funding ($565k/yr)</t>
        </is>
      </c>
    </row>
    <row r="98">
      <c r="A98" t="inlineStr">
        <is>
          <t>FY2028</t>
        </is>
      </c>
      <c r="B98" s="21">
        <f>'Funds by Plan'!$S$3</f>
        <v>1492737</v>
      </c>
      <c r="C98" s="21">
        <f>'Funds by Plan'!$S$22</f>
        <v>1295665</v>
      </c>
      <c r="D98" s="21">
        <f>'Funds by Plan'!$S$41</f>
        <v>982343</v>
      </c>
      <c r="E98" s="21">
        <f>'Funds by Plan'!$S$60</f>
        <v>1369608</v>
      </c>
      <c r="F98" s="21">
        <f>'Funds by Plan'!$S$79</f>
        <v>1351237</v>
      </c>
      <c r="G98" s="21">
        <f>'Funds by Plan'!$S$98</f>
        <v>1313313</v>
      </c>
    </row>
    <row r="99">
      <c r="A99" t="inlineStr">
        <is>
          <t>FY2029</t>
        </is>
      </c>
      <c r="B99" s="21">
        <f>'Funds by Plan'!$S$4</f>
        <v>1534186</v>
      </c>
      <c r="C99" s="21">
        <f>'Funds by Plan'!$S$23</f>
        <v>1284735</v>
      </c>
      <c r="D99" s="21">
        <f>'Funds by Plan'!$S$42</f>
        <v>979062</v>
      </c>
      <c r="E99" s="21">
        <f>'Funds by Plan'!$S$61</f>
        <v>1362645</v>
      </c>
      <c r="F99" s="21">
        <f>'Funds by Plan'!$S$80</f>
        <v>1340696</v>
      </c>
      <c r="G99" s="21">
        <f>'Funds by Plan'!$S$99</f>
        <v>1302506</v>
      </c>
    </row>
    <row r="100">
      <c r="A100" t="inlineStr">
        <is>
          <t>FY2030</t>
        </is>
      </c>
      <c r="B100" s="21">
        <f>'Funds by Plan'!$S$5</f>
        <v>793035</v>
      </c>
      <c r="C100" s="21">
        <f>'Funds by Plan'!$S$24</f>
        <v>465837</v>
      </c>
      <c r="D100" s="21">
        <f>'Funds by Plan'!$S$43</f>
        <v>158025</v>
      </c>
      <c r="E100" s="21">
        <f>'Funds by Plan'!$S$62</f>
        <v>544293</v>
      </c>
      <c r="F100" s="21">
        <f>'Funds by Plan'!$S$81</f>
        <v>522190</v>
      </c>
      <c r="G100" s="21">
        <f>'Funds by Plan'!$S$100</f>
        <v>483732</v>
      </c>
    </row>
    <row r="101">
      <c r="A101" t="inlineStr">
        <is>
          <t>FY2031</t>
        </is>
      </c>
      <c r="B101" s="21">
        <f>'Funds by Plan'!$S$6</f>
        <v>400038</v>
      </c>
      <c r="C101" s="21">
        <f>'Funds by Plan'!$S$25</f>
        <v>145551</v>
      </c>
      <c r="D101" s="21">
        <f>'Funds by Plan'!$S$44</f>
        <v>139132</v>
      </c>
      <c r="E101" s="21">
        <f>'Funds by Plan'!$S$63</f>
        <v>147187</v>
      </c>
      <c r="F101" s="21">
        <f>'Funds by Plan'!$S$82</f>
        <v>146726</v>
      </c>
      <c r="G101" s="21">
        <f>'Funds by Plan'!$S$101</f>
        <v>145924</v>
      </c>
    </row>
    <row r="102">
      <c r="A102" t="inlineStr">
        <is>
          <t>FY2032</t>
        </is>
      </c>
      <c r="B102" s="21">
        <f>'Funds by Plan'!$S$7</f>
        <v>449839</v>
      </c>
      <c r="C102" s="21">
        <f>'Funds by Plan'!$S$26</f>
        <v>243570</v>
      </c>
      <c r="D102" s="21">
        <f>'Funds by Plan'!$S$45</f>
        <v>108154</v>
      </c>
      <c r="E102" s="21">
        <f>'Funds by Plan'!$S$64</f>
        <v>169434</v>
      </c>
      <c r="F102" s="21">
        <f>'Funds by Plan'!$S$83</f>
        <v>190765</v>
      </c>
      <c r="G102" s="21">
        <f>'Funds by Plan'!$S$102</f>
        <v>227883</v>
      </c>
    </row>
    <row r="103">
      <c r="A103" t="inlineStr">
        <is>
          <t>FY2033</t>
        </is>
      </c>
      <c r="B103" s="21">
        <f>'Funds by Plan'!$S$8</f>
        <v>495488</v>
      </c>
      <c r="C103" s="21">
        <f>'Funds by Plan'!$S$27</f>
        <v>362774</v>
      </c>
      <c r="D103" s="21">
        <f>'Funds by Plan'!$S$46</f>
        <v>99066</v>
      </c>
      <c r="E103" s="21">
        <f>'Funds by Plan'!$S$65</f>
        <v>213922</v>
      </c>
      <c r="F103" s="21">
        <f>'Funds by Plan'!$S$84</f>
        <v>257200</v>
      </c>
      <c r="G103" s="21">
        <f>'Funds by Plan'!$S$103</f>
        <v>332502</v>
      </c>
    </row>
    <row r="104">
      <c r="A104" t="inlineStr">
        <is>
          <t>FY2034</t>
        </is>
      </c>
      <c r="B104" s="21">
        <f>'Funds by Plan'!$S$9</f>
        <v>574956</v>
      </c>
      <c r="C104" s="21">
        <f>'Funds by Plan'!$S$28</f>
        <v>491313</v>
      </c>
      <c r="D104" s="21">
        <f>'Funds by Plan'!$S$47</f>
        <v>169707</v>
      </c>
      <c r="E104" s="21">
        <f>'Funds by Plan'!$S$66</f>
        <v>303167</v>
      </c>
      <c r="F104" s="21">
        <f>'Funds by Plan'!$S$85</f>
        <v>378537</v>
      </c>
      <c r="G104" s="21">
        <f>'Funds by Plan'!$S$104</f>
        <v>554984</v>
      </c>
    </row>
    <row r="105">
      <c r="A105" t="inlineStr">
        <is>
          <t>FY2035</t>
        </is>
      </c>
      <c r="B105" s="21">
        <f>'Funds by Plan'!$S$10</f>
        <v>363480</v>
      </c>
      <c r="C105" s="21">
        <f>'Funds by Plan'!$S$29</f>
        <v>99256</v>
      </c>
      <c r="D105" s="21">
        <f>'Funds by Plan'!$S$48</f>
        <v>89787</v>
      </c>
      <c r="E105" s="21">
        <f>'Funds by Plan'!$S$67</f>
        <v>104692</v>
      </c>
      <c r="F105" s="21">
        <f>'Funds by Plan'!$S$86</f>
        <v>106816</v>
      </c>
      <c r="G105" s="21">
        <f>'Funds by Plan'!$S$105</f>
        <v>107795</v>
      </c>
    </row>
    <row r="106">
      <c r="A106" t="inlineStr">
        <is>
          <t>FY2036</t>
        </is>
      </c>
      <c r="B106" s="21">
        <f>'Funds by Plan'!$S$11</f>
        <v>442024</v>
      </c>
      <c r="C106" s="21">
        <f>'Funds by Plan'!$S$30</f>
        <v>110015</v>
      </c>
      <c r="D106" s="21">
        <f>'Funds by Plan'!$S$49</f>
        <v>103367</v>
      </c>
      <c r="E106" s="21">
        <f>'Funds by Plan'!$S$68</f>
        <v>111707</v>
      </c>
      <c r="F106" s="21">
        <f>'Funds by Plan'!$S$87</f>
        <v>111229</v>
      </c>
      <c r="G106" s="21">
        <f>'Funds by Plan'!$S$106</f>
        <v>124055</v>
      </c>
    </row>
    <row r="107">
      <c r="A107" t="inlineStr">
        <is>
          <t>FY2037</t>
        </is>
      </c>
      <c r="B107" s="21">
        <f>'Funds by Plan'!$S$12</f>
        <v>416119</v>
      </c>
      <c r="C107" s="21">
        <f>'Funds by Plan'!$S$31</f>
        <v>151241</v>
      </c>
      <c r="D107" s="21">
        <f>'Funds by Plan'!$S$50</f>
        <v>172683</v>
      </c>
      <c r="E107" s="21">
        <f>'Funds by Plan'!$S$69</f>
        <v>178711</v>
      </c>
      <c r="F107" s="21">
        <f>'Funds by Plan'!$S$88</f>
        <v>200426</v>
      </c>
      <c r="G107" s="21">
        <f>'Funds by Plan'!$S$107</f>
        <v>132316</v>
      </c>
    </row>
    <row r="108">
      <c r="A108" t="inlineStr">
        <is>
          <t>FY2038</t>
        </is>
      </c>
      <c r="B108" s="21">
        <f>'Funds by Plan'!$S$13</f>
        <v>495033</v>
      </c>
      <c r="C108" s="21">
        <f>'Funds by Plan'!$S$32</f>
        <v>175286</v>
      </c>
      <c r="D108" s="21">
        <f>'Funds by Plan'!$S$51</f>
        <v>194821</v>
      </c>
      <c r="E108" s="21">
        <f>'Funds by Plan'!$S$70</f>
        <v>199510</v>
      </c>
      <c r="F108" s="21">
        <f>'Funds by Plan'!$S$89</f>
        <v>240014</v>
      </c>
      <c r="G108" s="21">
        <f>'Funds by Plan'!$S$108</f>
        <v>280133</v>
      </c>
    </row>
    <row r="109">
      <c r="A109" t="inlineStr">
        <is>
          <t>FY2039</t>
        </is>
      </c>
      <c r="B109" s="21">
        <f>'Funds by Plan'!$S$14</f>
        <v>549496</v>
      </c>
      <c r="C109" s="21">
        <f>'Funds by Plan'!$S$33</f>
        <v>202571</v>
      </c>
      <c r="D109" s="21">
        <f>'Funds by Plan'!$S$52</f>
        <v>148820</v>
      </c>
      <c r="E109" s="21">
        <f>'Funds by Plan'!$S$71</f>
        <v>138650</v>
      </c>
      <c r="F109" s="21">
        <f>'Funds by Plan'!$S$90</f>
        <v>249686</v>
      </c>
      <c r="G109" s="21">
        <f>'Funds by Plan'!$S$109</f>
        <v>485972</v>
      </c>
    </row>
    <row r="110">
      <c r="A110" t="inlineStr">
        <is>
          <t>FY2040</t>
        </is>
      </c>
      <c r="B110" s="21">
        <f>'Funds by Plan'!$S$15</f>
        <v>459344</v>
      </c>
      <c r="C110" s="21">
        <f>'Funds by Plan'!$S$34</f>
        <v>119435</v>
      </c>
      <c r="D110" s="21">
        <f>'Funds by Plan'!$S$53</f>
        <v>117663</v>
      </c>
      <c r="E110" s="21">
        <f>'Funds by Plan'!$S$72</f>
        <v>123634</v>
      </c>
      <c r="F110" s="21">
        <f>'Funds by Plan'!$S$91</f>
        <v>188354</v>
      </c>
      <c r="G110" s="21">
        <f>'Funds by Plan'!$S$110</f>
        <v>496016</v>
      </c>
    </row>
    <row r="111">
      <c r="A111" t="inlineStr">
        <is>
          <t>FY2041</t>
        </is>
      </c>
      <c r="B111" s="21">
        <f>'Funds by Plan'!$S$16</f>
        <v>513558</v>
      </c>
      <c r="C111" s="21">
        <f>'Funds by Plan'!$S$35</f>
        <v>246271</v>
      </c>
      <c r="D111" s="21">
        <f>'Funds by Plan'!$S$54</f>
        <v>353050</v>
      </c>
      <c r="E111" s="21">
        <f>'Funds by Plan'!$S$73</f>
        <v>363578</v>
      </c>
      <c r="F111" s="21">
        <f>'Funds by Plan'!$S$92</f>
        <v>524863</v>
      </c>
      <c r="G111" s="21">
        <f>'Funds by Plan'!$S$111</f>
        <v>1014487</v>
      </c>
    </row>
    <row r="112">
      <c r="A112" t="inlineStr">
        <is>
          <t>FY2042</t>
        </is>
      </c>
      <c r="B112" s="21">
        <f>'Funds by Plan'!$S$17</f>
        <v>568189</v>
      </c>
      <c r="C112" s="21">
        <f>'Funds by Plan'!$S$36</f>
        <v>102494</v>
      </c>
      <c r="D112" s="21">
        <f>'Funds by Plan'!$S$55</f>
        <v>359246</v>
      </c>
      <c r="E112" s="21">
        <f>'Funds by Plan'!$S$74</f>
        <v>366490</v>
      </c>
      <c r="F112" s="21">
        <f>'Funds by Plan'!$S$93</f>
        <v>614517</v>
      </c>
      <c r="G112" s="21">
        <f>'Funds by Plan'!$S$112</f>
        <v>1265089</v>
      </c>
    </row>
    <row r="114">
      <c r="A114" s="4" t="inlineStr">
        <is>
          <t>Capital debt outstanding, year-end</t>
        </is>
      </c>
      <c r="B114" s="33" t="inlineStr">
        <is>
          <t>Live: prior debt + new borrowing − principal paid (debt service minus interest), seeded from the entering notes on Inputs.</t>
        </is>
      </c>
    </row>
    <row r="115">
      <c r="A115" s="14" t="inlineStr">
        <is>
          <t>Fiscal year</t>
        </is>
      </c>
      <c r="B115" s="14" t="inlineStr">
        <is>
          <t>Current practice</t>
        </is>
      </c>
      <c r="C115" s="14" t="inlineStr">
        <is>
          <t>Save $50,000 more a year</t>
        </is>
      </c>
      <c r="D115" s="14" t="inlineStr">
        <is>
          <t>Phased start from $300k (reaches $500k in FY2032)</t>
        </is>
      </c>
      <c r="E115" s="14" t="inlineStr">
        <is>
          <t>Break even by 2042 ($500k/yr)</t>
        </is>
      </c>
      <c r="F115" s="14" t="inlineStr">
        <is>
          <t>Step up to $530k/yr (by FY2030)</t>
        </is>
      </c>
      <c r="G115" s="14" t="inlineStr">
        <is>
          <t>Full pre-funding ($565k/yr)</t>
        </is>
      </c>
    </row>
    <row r="116">
      <c r="A116" t="inlineStr">
        <is>
          <t>FY2028</t>
        </is>
      </c>
      <c r="B116" s="21">
        <f>Inputs!$C$24+B41-(B3+B22-B60)</f>
        <v>3132969</v>
      </c>
      <c r="C116" s="21">
        <f>Inputs!$C$24+C41-(C3+C22-C60)</f>
        <v>2885898</v>
      </c>
      <c r="D116" s="21">
        <f>Inputs!$C$24+D41-(D3+D22-D60)</f>
        <v>2545257</v>
      </c>
      <c r="E116" s="21">
        <f>Inputs!$C$24+E41-(E3+E22-E60)</f>
        <v>2732522</v>
      </c>
      <c r="F116" s="21">
        <f>Inputs!$C$24+F41-(F3+F22-F60)</f>
        <v>2764151</v>
      </c>
      <c r="G116" s="21">
        <f>Inputs!$C$24+G41-(G3+G22-G60)</f>
        <v>2611226</v>
      </c>
    </row>
    <row r="117">
      <c r="A117" t="inlineStr">
        <is>
          <t>FY2029</t>
        </is>
      </c>
      <c r="B117" s="21">
        <f>B116+B42-(B4+B23-B61)</f>
        <v>3131106</v>
      </c>
      <c r="C117" s="21">
        <f>C116+C42-(C4+C23-C61)</f>
        <v>2782812</v>
      </c>
      <c r="D117" s="21">
        <f>D116+D42-(D4+D23-D61)</f>
        <v>2585946</v>
      </c>
      <c r="E117" s="21">
        <f>E116+E42-(E4+E23-E61)</f>
        <v>2702822</v>
      </c>
      <c r="F117" s="21">
        <f>F116+F42-(F4+F23-F61)</f>
        <v>2742724</v>
      </c>
      <c r="G117" s="21">
        <f>G116+G42-(G4+G23-G61)</f>
        <v>2511396</v>
      </c>
    </row>
    <row r="118">
      <c r="A118" t="inlineStr">
        <is>
          <t>FY2030</t>
        </is>
      </c>
      <c r="B118" s="21">
        <f>B117+B43-(B5+B24-B62)</f>
        <v>2936683</v>
      </c>
      <c r="C118" s="21">
        <f>C117+C43-(C5+C24-C62)</f>
        <v>2510887</v>
      </c>
      <c r="D118" s="21">
        <f>D117+D43-(D5+D24-D62)</f>
        <v>2364464</v>
      </c>
      <c r="E118" s="21">
        <f>E117+E43-(E5+E24-E62)</f>
        <v>2542854</v>
      </c>
      <c r="F118" s="21">
        <f>F117+F43-(F5+F24-F62)</f>
        <v>2554860</v>
      </c>
      <c r="G118" s="21">
        <f>G117+G43-(G5+G24-G62)</f>
        <v>2280927</v>
      </c>
    </row>
    <row r="119">
      <c r="A119" t="inlineStr">
        <is>
          <t>FY2031</t>
        </is>
      </c>
      <c r="B119" s="21">
        <f>B118+B44-(B6+B25-B63)</f>
        <v>2557930</v>
      </c>
      <c r="C119" s="21">
        <f>C118+C44-(C6+C25-C63)</f>
        <v>2206188</v>
      </c>
      <c r="D119" s="21">
        <f>D118+D44-(D6+D25-D63)</f>
        <v>2254714</v>
      </c>
      <c r="E119" s="21">
        <f>E118+E44-(E6+E25-E63)</f>
        <v>2247220</v>
      </c>
      <c r="F119" s="21">
        <f>F118+F44-(F6+F25-F63)</f>
        <v>2251723</v>
      </c>
      <c r="G119" s="21">
        <f>G118+G44-(G6+G25-G63)</f>
        <v>1970686</v>
      </c>
    </row>
    <row r="120">
      <c r="A120" t="inlineStr">
        <is>
          <t>FY2032</t>
        </is>
      </c>
      <c r="B120" s="21">
        <f>B119+B45-(B7+B26-B64)</f>
        <v>2163401</v>
      </c>
      <c r="C120" s="21">
        <f>C119+C45-(C7+C26-C64)</f>
        <v>1889764</v>
      </c>
      <c r="D120" s="21">
        <f>D119+D45-(D7+D26-D64)</f>
        <v>1898454</v>
      </c>
      <c r="E120" s="21">
        <f>E119+E45-(E7+E26-E64)</f>
        <v>1940329</v>
      </c>
      <c r="F120" s="21">
        <f>F119+F45-(F7+F26-F64)</f>
        <v>1936945</v>
      </c>
      <c r="G120" s="21">
        <f>G119+G45-(G7+G26-G64)</f>
        <v>1648143</v>
      </c>
    </row>
    <row r="121">
      <c r="A121" t="inlineStr">
        <is>
          <t>FY2033</t>
        </is>
      </c>
      <c r="B121" s="21">
        <f>B120+B46-(B8+B27-B65)</f>
        <v>1752350</v>
      </c>
      <c r="C121" s="21">
        <f>C120+C46-(C8+C27-C65)</f>
        <v>1561092</v>
      </c>
      <c r="D121" s="21">
        <f>D120+D46-(D8+D27-D65)</f>
        <v>1527484</v>
      </c>
      <c r="E121" s="21">
        <f>E120+E46-(E8+E27-E65)</f>
        <v>1621681</v>
      </c>
      <c r="F121" s="21">
        <f>F120+F46-(F8+F27-F65)</f>
        <v>1610009</v>
      </c>
      <c r="G121" s="21">
        <f>G120+G46-(G8+G27-G65)</f>
        <v>1312736</v>
      </c>
    </row>
    <row r="122">
      <c r="A122" t="inlineStr">
        <is>
          <t>FY2034</t>
        </is>
      </c>
      <c r="B122" s="21">
        <f>B121+B47-(B9+B28-B66)</f>
        <v>1417058</v>
      </c>
      <c r="C122" s="21">
        <f>C121+C47-(C9+C28-C66)</f>
        <v>1294182</v>
      </c>
      <c r="D122" s="21">
        <f>D121+D47-(D9+D28-D66)</f>
        <v>1210810</v>
      </c>
      <c r="E122" s="21">
        <f>E121+E47-(E9+E28-E66)</f>
        <v>1325114</v>
      </c>
      <c r="F122" s="21">
        <f>F121+F47-(F9+F28-F66)</f>
        <v>1314721</v>
      </c>
      <c r="G122" s="21">
        <f>G121+G47-(G9+G28-G66)</f>
        <v>1070917</v>
      </c>
    </row>
    <row r="123">
      <c r="A123" t="inlineStr">
        <is>
          <t>FY2035</t>
        </is>
      </c>
      <c r="B123" s="21">
        <f>B122+B48-(B10+B29-B67)</f>
        <v>1592760</v>
      </c>
      <c r="C123" s="21">
        <f>C122+C48-(C10+C29-C67)</f>
        <v>1256950</v>
      </c>
      <c r="D123" s="21">
        <f>D122+D48-(D10+D29-D67)</f>
        <v>1445819</v>
      </c>
      <c r="E123" s="21">
        <f>E122+E48-(E10+E29-E67)</f>
        <v>1444450</v>
      </c>
      <c r="F123" s="21">
        <f>F122+F48-(F10+F29-F67)</f>
        <v>1329828</v>
      </c>
      <c r="G123" s="21">
        <f>G122+G48-(G10+G29-G67)</f>
        <v>864500</v>
      </c>
    </row>
    <row r="124">
      <c r="A124" t="inlineStr">
        <is>
          <t>FY2036</t>
        </is>
      </c>
      <c r="B124" s="21">
        <f>B123+B49-(B11+B30-B68)</f>
        <v>1624245</v>
      </c>
      <c r="C124" s="21">
        <f>C123+C49-(C11+C30-C68)</f>
        <v>1181957</v>
      </c>
      <c r="D124" s="21">
        <f>D123+D49-(D11+D30-D68)</f>
        <v>1356051</v>
      </c>
      <c r="E124" s="21">
        <f>E123+E49-(E11+E30-E68)</f>
        <v>1347150</v>
      </c>
      <c r="F124" s="21">
        <f>F123+F49-(F11+F30-F68)</f>
        <v>1195345</v>
      </c>
      <c r="G124" s="21">
        <f>G123+G49-(G11+G30-G68)</f>
        <v>688256</v>
      </c>
    </row>
    <row r="125">
      <c r="A125" t="inlineStr">
        <is>
          <t>FY2037</t>
        </is>
      </c>
      <c r="B125" s="21">
        <f>B124+B50-(B12+B31-B69)</f>
        <v>1563864</v>
      </c>
      <c r="C125" s="21">
        <f>C124+C50-(C12+C31-C69)</f>
        <v>1146062</v>
      </c>
      <c r="D125" s="21">
        <f>D124+D50-(D12+D31-D69)</f>
        <v>1348988</v>
      </c>
      <c r="E125" s="21">
        <f>E124+E50-(E12+E31-E69)</f>
        <v>1336678</v>
      </c>
      <c r="F125" s="21">
        <f>F124+F50-(F12+F31-F69)</f>
        <v>1170541</v>
      </c>
      <c r="G125" s="21">
        <f>G124+G50-(G12+G31-G69)</f>
        <v>526178</v>
      </c>
    </row>
    <row r="126">
      <c r="A126" t="inlineStr">
        <is>
          <t>FY2038</t>
        </is>
      </c>
      <c r="B126" s="21">
        <f>B125+B51-(B13+B32-B70)</f>
        <v>1388627</v>
      </c>
      <c r="C126" s="21">
        <f>C125+C51-(C13+C32-C70)</f>
        <v>899711</v>
      </c>
      <c r="D126" s="21">
        <f>D125+D51-(D13+D32-D70)</f>
        <v>1156431</v>
      </c>
      <c r="E126" s="21">
        <f>E125+E51-(E13+E32-E70)</f>
        <v>1141786</v>
      </c>
      <c r="F126" s="21">
        <f>F125+F51-(F13+F32-F70)</f>
        <v>956956</v>
      </c>
      <c r="G126" s="21">
        <f>G125+G51-(G13+G32-G70)</f>
        <v>357617</v>
      </c>
    </row>
    <row r="127">
      <c r="A127" t="inlineStr">
        <is>
          <t>FY2039</t>
        </is>
      </c>
      <c r="B127" s="21">
        <f>B126+B52-(B14+B33-B71)</f>
        <v>1108492</v>
      </c>
      <c r="C127" s="21">
        <f>C126+C52-(C14+C33-C71)</f>
        <v>571770</v>
      </c>
      <c r="D127" s="21">
        <f>D126+D52-(D14+D33-D71)</f>
        <v>831064</v>
      </c>
      <c r="E127" s="21">
        <f>E126+E52-(E14+E33-E71)</f>
        <v>800725</v>
      </c>
      <c r="F127" s="21">
        <f>F126+F52-(F14+F33-F71)</f>
        <v>647791</v>
      </c>
      <c r="G127" s="21">
        <f>G126+G52-(G14+G33-G71)</f>
        <v>182314</v>
      </c>
    </row>
    <row r="128">
      <c r="A128" t="inlineStr">
        <is>
          <t>FY2040</t>
        </is>
      </c>
      <c r="B128" s="21">
        <f>B127+B53-(B15+B34-B72)</f>
        <v>815673</v>
      </c>
      <c r="C128" s="21">
        <f>C127+C53-(C15+C34-C72)</f>
        <v>311236</v>
      </c>
      <c r="D128" s="21">
        <f>D127+D53-(D15+D34-D72)</f>
        <v>704016</v>
      </c>
      <c r="E128" s="21">
        <f>E127+E53-(E15+E34-E72)</f>
        <v>688577</v>
      </c>
      <c r="F128" s="21">
        <f>F127+F53-(F15+F34-F72)</f>
        <v>451696</v>
      </c>
      <c r="G128" s="21">
        <f>G127+G53-(G15+G34-G72)</f>
        <v>0</v>
      </c>
    </row>
    <row r="129">
      <c r="A129" t="inlineStr">
        <is>
          <t>FY2041</t>
        </is>
      </c>
      <c r="B129" s="21">
        <f>B128+B54-(B16+B35-B73)</f>
        <v>579351</v>
      </c>
      <c r="C129" s="21">
        <f>C128+C54-(C16+C35-C73)</f>
        <v>185740</v>
      </c>
      <c r="D129" s="21">
        <f>D128+D54-(D16+D35-D73)</f>
        <v>520901</v>
      </c>
      <c r="E129" s="21">
        <f>E128+E54-(E16+E35-E73)</f>
        <v>509697</v>
      </c>
      <c r="F129" s="21">
        <f>F128+F54-(F16+F35-F73)</f>
        <v>327784</v>
      </c>
      <c r="G129" s="21">
        <f>G128+G54-(G16+G35-G73)</f>
        <v>0</v>
      </c>
    </row>
    <row r="130">
      <c r="A130" t="inlineStr">
        <is>
          <t>FY2042</t>
        </is>
      </c>
      <c r="B130" s="21">
        <f>B129+B55-(B17+B36-B74)</f>
        <v>645184</v>
      </c>
      <c r="C130" s="21">
        <f>C129+C55-(C17+C36-C74)</f>
        <v>93927</v>
      </c>
      <c r="D130" s="21">
        <f>D129+D55-(D17+D36-D74)</f>
        <v>369654</v>
      </c>
      <c r="E130" s="21">
        <f>E129+E55-(E17+E36-E74)</f>
        <v>354966</v>
      </c>
      <c r="F130" s="21">
        <f>F129+F55-(F17+F36-F74)</f>
        <v>220178</v>
      </c>
      <c r="G130" s="21">
        <f>G129+G55-(G17+G36-G74)</f>
        <v>0</v>
      </c>
    </row>
    <row r="132">
      <c r="A132" s="4" t="inlineStr">
        <is>
          <t>Net position (owns − owes), year-end</t>
        </is>
      </c>
      <c r="B132" s="33" t="inlineStr">
        <is>
          <t>Live formula: fund balances minus debt outstanding, from the blocks above.</t>
        </is>
      </c>
    </row>
    <row r="133">
      <c r="A133" s="14" t="inlineStr">
        <is>
          <t>Fiscal year</t>
        </is>
      </c>
      <c r="B133" s="14" t="inlineStr">
        <is>
          <t>Current practice</t>
        </is>
      </c>
      <c r="C133" s="14" t="inlineStr">
        <is>
          <t>Save $50,000 more a year</t>
        </is>
      </c>
      <c r="D133" s="14" t="inlineStr">
        <is>
          <t>Phased start from $300k (reaches $500k in FY2032)</t>
        </is>
      </c>
      <c r="E133" s="14" t="inlineStr">
        <is>
          <t>Break even by 2042 ($500k/yr)</t>
        </is>
      </c>
      <c r="F133" s="14" t="inlineStr">
        <is>
          <t>Step up to $530k/yr (by FY2030)</t>
        </is>
      </c>
      <c r="G133" s="14" t="inlineStr">
        <is>
          <t>Full pre-funding ($565k/yr)</t>
        </is>
      </c>
    </row>
    <row r="134">
      <c r="A134" t="inlineStr">
        <is>
          <t>FY2028</t>
        </is>
      </c>
      <c r="B134" s="21">
        <f>B98-B116</f>
        <v>-1640232</v>
      </c>
      <c r="C134" s="21">
        <f>C98-C116</f>
        <v>-1590233</v>
      </c>
      <c r="D134" s="21">
        <f>D98-D116</f>
        <v>-1562914</v>
      </c>
      <c r="E134" s="21">
        <f>E98-E116</f>
        <v>-1362914</v>
      </c>
      <c r="F134" s="21">
        <f>F98-F116</f>
        <v>-1412914</v>
      </c>
      <c r="G134" s="21">
        <f>G98-G116</f>
        <v>-1297913</v>
      </c>
    </row>
    <row r="135">
      <c r="A135" t="inlineStr">
        <is>
          <t>FY2029</t>
        </is>
      </c>
      <c r="B135" s="21">
        <f>B99-B117</f>
        <v>-1596920</v>
      </c>
      <c r="C135" s="21">
        <f>C99-C117</f>
        <v>-1498077</v>
      </c>
      <c r="D135" s="21">
        <f>D99-D117</f>
        <v>-1606884</v>
      </c>
      <c r="E135" s="21">
        <f>E99-E117</f>
        <v>-1340177</v>
      </c>
      <c r="F135" s="21">
        <f>F99-F117</f>
        <v>-1402028</v>
      </c>
      <c r="G135" s="21">
        <f>G99-G117</f>
        <v>-1208890</v>
      </c>
    </row>
    <row r="136">
      <c r="A136" t="inlineStr">
        <is>
          <t>FY2030</t>
        </is>
      </c>
      <c r="B136" s="21">
        <f>B100-B118</f>
        <v>-2143648</v>
      </c>
      <c r="C136" s="21">
        <f>C100-C118</f>
        <v>-2045050</v>
      </c>
      <c r="D136" s="21">
        <f>D100-D118</f>
        <v>-2206439</v>
      </c>
      <c r="E136" s="21">
        <f>E100-E118</f>
        <v>-1998561</v>
      </c>
      <c r="F136" s="21">
        <f>F100-F118</f>
        <v>-2032670</v>
      </c>
      <c r="G136" s="21">
        <f>G100-G118</f>
        <v>-1797195</v>
      </c>
    </row>
    <row r="137">
      <c r="A137" t="inlineStr">
        <is>
          <t>FY2031</t>
        </is>
      </c>
      <c r="B137" s="21">
        <f>B101-B119</f>
        <v>-2157892</v>
      </c>
      <c r="C137" s="21">
        <f>C101-C119</f>
        <v>-2060637</v>
      </c>
      <c r="D137" s="21">
        <f>D101-D119</f>
        <v>-2115582</v>
      </c>
      <c r="E137" s="21">
        <f>E101-E119</f>
        <v>-2100033</v>
      </c>
      <c r="F137" s="21">
        <f>F101-F119</f>
        <v>-2104997</v>
      </c>
      <c r="G137" s="21">
        <f>G101-G119</f>
        <v>-1824762</v>
      </c>
    </row>
    <row r="138">
      <c r="A138" t="inlineStr">
        <is>
          <t>FY2032</t>
        </is>
      </c>
      <c r="B138" s="21">
        <f>B102-B120</f>
        <v>-1713562</v>
      </c>
      <c r="C138" s="21">
        <f>C102-C120</f>
        <v>-1646194</v>
      </c>
      <c r="D138" s="21">
        <f>D102-D120</f>
        <v>-1790300</v>
      </c>
      <c r="E138" s="21">
        <f>E102-E120</f>
        <v>-1770895</v>
      </c>
      <c r="F138" s="21">
        <f>F102-F120</f>
        <v>-1746180</v>
      </c>
      <c r="G138" s="21">
        <f>G102-G120</f>
        <v>-1420260</v>
      </c>
    </row>
    <row r="139">
      <c r="A139" t="inlineStr">
        <is>
          <t>FY2033</t>
        </is>
      </c>
      <c r="B139" s="21">
        <f>B103-B121</f>
        <v>-1256862</v>
      </c>
      <c r="C139" s="21">
        <f>C103-C121</f>
        <v>-1198318</v>
      </c>
      <c r="D139" s="21">
        <f>D103-D121</f>
        <v>-1428418</v>
      </c>
      <c r="E139" s="21">
        <f>E103-E121</f>
        <v>-1407759</v>
      </c>
      <c r="F139" s="21">
        <f>F103-F121</f>
        <v>-1352809</v>
      </c>
      <c r="G139" s="21">
        <f>G103-G121</f>
        <v>-980234</v>
      </c>
    </row>
    <row r="140">
      <c r="A140" t="inlineStr">
        <is>
          <t>FY2034</t>
        </is>
      </c>
      <c r="B140" s="21">
        <f>B104-B122</f>
        <v>-842102</v>
      </c>
      <c r="C140" s="21">
        <f>C104-C122</f>
        <v>-802869</v>
      </c>
      <c r="D140" s="21">
        <f>D104-D122</f>
        <v>-1041103</v>
      </c>
      <c r="E140" s="21">
        <f>E104-E122</f>
        <v>-1021947</v>
      </c>
      <c r="F140" s="21">
        <f>F104-F122</f>
        <v>-936184</v>
      </c>
      <c r="G140" s="21">
        <f>G104-G122</f>
        <v>-515933</v>
      </c>
    </row>
    <row r="141">
      <c r="A141" t="inlineStr">
        <is>
          <t>FY2035</t>
        </is>
      </c>
      <c r="B141" s="21">
        <f>B105-B123</f>
        <v>-1229280</v>
      </c>
      <c r="C141" s="21">
        <f>C105-C123</f>
        <v>-1157694</v>
      </c>
      <c r="D141" s="21">
        <f>D105-D123</f>
        <v>-1356032</v>
      </c>
      <c r="E141" s="21">
        <f>E105-E123</f>
        <v>-1339758</v>
      </c>
      <c r="F141" s="21">
        <f>F105-F123</f>
        <v>-1223012</v>
      </c>
      <c r="G141" s="21">
        <f>G105-G123</f>
        <v>-756705</v>
      </c>
    </row>
    <row r="142">
      <c r="A142" t="inlineStr">
        <is>
          <t>FY2036</t>
        </is>
      </c>
      <c r="B142" s="21">
        <f>B106-B124</f>
        <v>-1182221</v>
      </c>
      <c r="C142" s="21">
        <f>C106-C124</f>
        <v>-1071942</v>
      </c>
      <c r="D142" s="21">
        <f>D106-D124</f>
        <v>-1252684</v>
      </c>
      <c r="E142" s="21">
        <f>E106-E124</f>
        <v>-1235443</v>
      </c>
      <c r="F142" s="21">
        <f>F106-F124</f>
        <v>-1084116</v>
      </c>
      <c r="G142" s="21">
        <f>G106-G124</f>
        <v>-564201</v>
      </c>
    </row>
    <row r="143">
      <c r="A143" t="inlineStr">
        <is>
          <t>FY2037</t>
        </is>
      </c>
      <c r="B143" s="21">
        <f>B107-B125</f>
        <v>-1147745</v>
      </c>
      <c r="C143" s="21">
        <f>C107-C125</f>
        <v>-994821</v>
      </c>
      <c r="D143" s="21">
        <f>D107-D125</f>
        <v>-1176305</v>
      </c>
      <c r="E143" s="21">
        <f>E107-E125</f>
        <v>-1157967</v>
      </c>
      <c r="F143" s="21">
        <f>F107-F125</f>
        <v>-970115</v>
      </c>
      <c r="G143" s="21">
        <f>G107-G125</f>
        <v>-393862</v>
      </c>
    </row>
    <row r="144">
      <c r="A144" t="inlineStr">
        <is>
          <t>FY2038</t>
        </is>
      </c>
      <c r="B144" s="21">
        <f>B108-B126</f>
        <v>-893594</v>
      </c>
      <c r="C144" s="21">
        <f>C108-C126</f>
        <v>-724425</v>
      </c>
      <c r="D144" s="21">
        <f>D108-D126</f>
        <v>-961610</v>
      </c>
      <c r="E144" s="21">
        <f>E108-E126</f>
        <v>-942276</v>
      </c>
      <c r="F144" s="21">
        <f>F108-F126</f>
        <v>-716942</v>
      </c>
      <c r="G144" s="21">
        <f>G108-G126</f>
        <v>-77484</v>
      </c>
    </row>
    <row r="145">
      <c r="A145" t="inlineStr">
        <is>
          <t>FY2039</t>
        </is>
      </c>
      <c r="B145" s="21">
        <f>B109-B127</f>
        <v>-558996</v>
      </c>
      <c r="C145" s="21">
        <f>C109-C127</f>
        <v>-369199</v>
      </c>
      <c r="D145" s="21">
        <f>D109-D127</f>
        <v>-682244</v>
      </c>
      <c r="E145" s="21">
        <f>E109-E127</f>
        <v>-662075</v>
      </c>
      <c r="F145" s="21">
        <f>F109-F127</f>
        <v>-398105</v>
      </c>
      <c r="G145" s="21">
        <f>G109-G127</f>
        <v>303658</v>
      </c>
    </row>
    <row r="146">
      <c r="A146" t="inlineStr">
        <is>
          <t>FY2040</t>
        </is>
      </c>
      <c r="B146" s="21">
        <f>B110-B128</f>
        <v>-356329</v>
      </c>
      <c r="C146" s="21">
        <f>C110-C128</f>
        <v>-191801</v>
      </c>
      <c r="D146" s="21">
        <f>D110-D128</f>
        <v>-586353</v>
      </c>
      <c r="E146" s="21">
        <f>E110-E128</f>
        <v>-564943</v>
      </c>
      <c r="F146" s="21">
        <f>F110-F128</f>
        <v>-263342</v>
      </c>
      <c r="G146" s="21">
        <f>G110-G128</f>
        <v>496016</v>
      </c>
    </row>
    <row r="147">
      <c r="A147" t="inlineStr">
        <is>
          <t>FY2041</t>
        </is>
      </c>
      <c r="B147" s="21">
        <f>B111-B129</f>
        <v>-65793</v>
      </c>
      <c r="C147" s="21">
        <f>C111-C129</f>
        <v>60531</v>
      </c>
      <c r="D147" s="21">
        <f>D111-D129</f>
        <v>-167851</v>
      </c>
      <c r="E147" s="21">
        <f>E111-E129</f>
        <v>-146119</v>
      </c>
      <c r="F147" s="21">
        <f>F111-F129</f>
        <v>197079</v>
      </c>
      <c r="G147" s="21">
        <f>G111-G129</f>
        <v>1014487</v>
      </c>
    </row>
    <row r="148">
      <c r="A148" t="inlineStr">
        <is>
          <t>FY2042</t>
        </is>
      </c>
      <c r="B148" s="21">
        <f>B112-B130</f>
        <v>-76995</v>
      </c>
      <c r="C148" s="21">
        <f>C112-C130</f>
        <v>8567</v>
      </c>
      <c r="D148" s="21">
        <f>D112-D130</f>
        <v>-10408</v>
      </c>
      <c r="E148" s="21">
        <f>E112-E130</f>
        <v>11524</v>
      </c>
      <c r="F148" s="21">
        <f>F112-F130</f>
        <v>394339</v>
      </c>
      <c r="G148" s="21">
        <f>G112-G130</f>
        <v>1265089</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xl/worksheets/sheet9.xml><?xml version="1.0" encoding="utf-8"?>
<worksheet xmlns="http://schemas.openxmlformats.org/spreadsheetml/2006/main">
  <sheetPr>
    <tabColor rgb="FF1F4E9E"/>
    <outlinePr summaryBelow="1" summaryRight="1"/>
    <pageSetUpPr fitToPage="1"/>
  </sheetPr>
  <dimension ref="A1:H63"/>
  <sheetViews>
    <sheetView workbookViewId="0">
      <selection activeCell="A1" sqref="A1"/>
    </sheetView>
  </sheetViews>
  <sheetFormatPr baseColWidth="8" defaultRowHeight="15"/>
  <cols>
    <col width="18" customWidth="1" min="1" max="1"/>
    <col width="19" customWidth="1" min="2" max="2"/>
    <col width="19" customWidth="1" min="3" max="3"/>
    <col width="19" customWidth="1" min="4" max="4"/>
    <col width="19" customWidth="1" min="5" max="5"/>
    <col width="19" customWidth="1" min="6" max="6"/>
    <col width="19" customWidth="1" min="7" max="7"/>
  </cols>
  <sheetData>
    <row r="1">
      <c r="A1" s="4" t="inlineStr">
        <is>
          <t>Projected steady state, FY2043–FY2052</t>
        </is>
      </c>
    </row>
    <row r="2" ht="64" customHeight="1">
      <c r="B2" s="33" t="inlineStr">
        <is>
          <t>A projection, not the model: the same machines recurring on their assets.csv lifecycles at today's prices, grants and financing under the unchanged rules, committed plan levels expiring with the window so each single-budget structure levies one level ask covering the decade's average requirement, the funds absorbing the timing; current practice and the seed plan continue their structures. Continued from each plan's exact end-of-window state. All dollars are today's dollars. No window metric — true cost, the Summary, the checks — uses these years; they exist to show where each structure settles: the pre-funded ask falls to the replacement bill with no interest in it, the borrowing structures keep financing each cycle.</t>
        </is>
      </c>
    </row>
    <row r="4">
      <c r="A4" s="14" t="inlineStr">
        <is>
          <t>Projected decade</t>
        </is>
      </c>
      <c r="B4" s="14" t="inlineStr">
        <is>
          <t>Current practice</t>
        </is>
      </c>
      <c r="C4" s="14" t="inlineStr">
        <is>
          <t>Save $50,000 more a year</t>
        </is>
      </c>
      <c r="D4" s="14" t="inlineStr">
        <is>
          <t>Phased start from $300k (reaches $500k in FY2032)</t>
        </is>
      </c>
      <c r="E4" s="14" t="inlineStr">
        <is>
          <t>Break even by 2042 ($500k/yr)</t>
        </is>
      </c>
      <c r="F4" s="14" t="inlineStr">
        <is>
          <t>Step up to $530k/yr (by FY2030)</t>
        </is>
      </c>
      <c r="G4" s="14" t="inlineStr">
        <is>
          <t>Full pre-funding ($565k/yr)</t>
        </is>
      </c>
    </row>
    <row r="5">
      <c r="A5" s="20" t="inlineStr">
        <is>
          <t>Average annual ask</t>
        </is>
      </c>
      <c r="B5" s="21">
        <f>ROUND(AVERAGE(B12:B21),0)</f>
        <v>286864</v>
      </c>
      <c r="C5" s="21">
        <f>ROUND(AVERAGE(C12:C21),0)</f>
        <v>246700</v>
      </c>
      <c r="D5" s="21">
        <f>ROUND(AVERAGE(D12:D21),0)</f>
        <v>284924</v>
      </c>
      <c r="E5" s="21">
        <f>ROUND(AVERAGE(E12:E21),0)</f>
        <v>283215</v>
      </c>
      <c r="F5" s="21">
        <f>ROUND(AVERAGE(F12:F21),0)</f>
        <v>268303</v>
      </c>
      <c r="G5" s="25">
        <f>ROUND(AVERAGE(G12:G21),0)</f>
        <v>243858</v>
      </c>
      <c r="H5" s="6" t="inlineStr">
        <is>
          <t>the steady state: pre-funding is the cheapest yearly ask</t>
        </is>
      </c>
    </row>
    <row r="6">
      <c r="A6" s="20" t="inlineStr">
        <is>
          <t>Interest paid, ten years</t>
        </is>
      </c>
      <c r="B6" s="21">
        <f>B36</f>
        <v>299521</v>
      </c>
      <c r="C6" s="21">
        <f>C36</f>
        <v>146880</v>
      </c>
      <c r="D6" s="21">
        <f>D36</f>
        <v>146858</v>
      </c>
      <c r="E6" s="21">
        <f>E36</f>
        <v>144967</v>
      </c>
      <c r="F6" s="21">
        <f>F36</f>
        <v>125215</v>
      </c>
      <c r="G6" s="25">
        <f>G36</f>
        <v>0</v>
      </c>
    </row>
    <row r="7">
      <c r="A7" s="20" t="inlineStr">
        <is>
          <t>New borrowing, ten years</t>
        </is>
      </c>
      <c r="B7" s="21">
        <f>B50</f>
        <v>1311333</v>
      </c>
      <c r="C7" s="21">
        <f>C50</f>
        <v>700750</v>
      </c>
      <c r="D7" s="21">
        <f>D50</f>
        <v>415652</v>
      </c>
      <c r="E7" s="21">
        <f>E50</f>
        <v>417679</v>
      </c>
      <c r="F7" s="21">
        <f>F50</f>
        <v>396403</v>
      </c>
      <c r="G7" s="25">
        <f>G50</f>
        <v>0</v>
      </c>
    </row>
    <row r="8">
      <c r="A8" s="20" t="inlineStr">
        <is>
          <t>Owns − owes at FY2052</t>
        </is>
      </c>
      <c r="B8" s="21">
        <f>B63</f>
        <v>95362</v>
      </c>
      <c r="C8" s="21">
        <f>C63</f>
        <v>-95802</v>
      </c>
      <c r="D8" s="21">
        <f>D63</f>
        <v>1122536</v>
      </c>
      <c r="E8" s="21">
        <f>E63</f>
        <v>1114218</v>
      </c>
      <c r="F8" s="21">
        <f>F63</f>
        <v>1209913</v>
      </c>
      <c r="G8" s="25">
        <f>G63</f>
        <v>1350302</v>
      </c>
    </row>
    <row r="10">
      <c r="A10" s="4" t="inlineStr">
        <is>
          <t>Projected annual ask</t>
        </is>
      </c>
      <c r="B10" s="33" t="inlineStr">
        <is>
          <t>Current practice and the seed plan continue their structures; the single-line plans' committed levels expire and each levies one level ask for the decade, the funds absorbing the timing.</t>
        </is>
      </c>
    </row>
    <row r="11">
      <c r="A11" s="14" t="inlineStr">
        <is>
          <t>Fiscal year</t>
        </is>
      </c>
      <c r="B11" s="14" t="inlineStr">
        <is>
          <t>Current practice</t>
        </is>
      </c>
      <c r="C11" s="14" t="inlineStr">
        <is>
          <t>Save $50,000 more a year</t>
        </is>
      </c>
      <c r="D11" s="14" t="inlineStr">
        <is>
          <t>Phased start from $300k (reaches $500k in FY2032)</t>
        </is>
      </c>
      <c r="E11" s="14" t="inlineStr">
        <is>
          <t>Break even by 2042 ($500k/yr)</t>
        </is>
      </c>
      <c r="F11" s="14" t="inlineStr">
        <is>
          <t>Step up to $530k/yr (by FY2030)</t>
        </is>
      </c>
      <c r="G11" s="14" t="inlineStr">
        <is>
          <t>Full pre-funding ($565k/yr)</t>
        </is>
      </c>
    </row>
    <row r="12">
      <c r="A12" t="inlineStr">
        <is>
          <t>FY2043</t>
        </is>
      </c>
      <c r="B12" s="26" t="n">
        <v>310373</v>
      </c>
      <c r="C12" s="26" t="n">
        <v>223409</v>
      </c>
      <c r="D12" s="26" t="n">
        <v>284924</v>
      </c>
      <c r="E12" s="26" t="n">
        <v>283215</v>
      </c>
      <c r="F12" s="26" t="n">
        <v>268303</v>
      </c>
      <c r="G12" s="26" t="n">
        <v>243858</v>
      </c>
    </row>
    <row r="13">
      <c r="A13" t="inlineStr">
        <is>
          <t>FY2044</t>
        </is>
      </c>
      <c r="B13" s="26" t="n">
        <v>345005</v>
      </c>
      <c r="C13" s="26" t="n">
        <v>253485</v>
      </c>
      <c r="D13" s="26" t="n">
        <v>284924</v>
      </c>
      <c r="E13" s="26" t="n">
        <v>283215</v>
      </c>
      <c r="F13" s="26" t="n">
        <v>268303</v>
      </c>
      <c r="G13" s="26" t="n">
        <v>243858</v>
      </c>
    </row>
    <row r="14">
      <c r="A14" t="inlineStr">
        <is>
          <t>FY2045</t>
        </is>
      </c>
      <c r="B14" s="26" t="n">
        <v>291938</v>
      </c>
      <c r="C14" s="26" t="n">
        <v>248502</v>
      </c>
      <c r="D14" s="26" t="n">
        <v>284924</v>
      </c>
      <c r="E14" s="26" t="n">
        <v>283215</v>
      </c>
      <c r="F14" s="26" t="n">
        <v>268303</v>
      </c>
      <c r="G14" s="26" t="n">
        <v>243858</v>
      </c>
    </row>
    <row r="15">
      <c r="A15" t="inlineStr">
        <is>
          <t>FY2046</t>
        </is>
      </c>
      <c r="B15" s="26" t="n">
        <v>289510</v>
      </c>
      <c r="C15" s="26" t="n">
        <v>223512</v>
      </c>
      <c r="D15" s="26" t="n">
        <v>284924</v>
      </c>
      <c r="E15" s="26" t="n">
        <v>283215</v>
      </c>
      <c r="F15" s="26" t="n">
        <v>268303</v>
      </c>
      <c r="G15" s="26" t="n">
        <v>243858</v>
      </c>
    </row>
    <row r="16">
      <c r="A16" t="inlineStr">
        <is>
          <t>FY2047</t>
        </is>
      </c>
      <c r="B16" s="26" t="n">
        <v>306310</v>
      </c>
      <c r="C16" s="26" t="n">
        <v>247272</v>
      </c>
      <c r="D16" s="26" t="n">
        <v>284924</v>
      </c>
      <c r="E16" s="26" t="n">
        <v>283215</v>
      </c>
      <c r="F16" s="26" t="n">
        <v>268303</v>
      </c>
      <c r="G16" s="26" t="n">
        <v>243858</v>
      </c>
    </row>
    <row r="17">
      <c r="A17" t="inlineStr">
        <is>
          <t>FY2048</t>
        </is>
      </c>
      <c r="B17" s="26" t="n">
        <v>232520</v>
      </c>
      <c r="C17" s="26" t="n">
        <v>247272</v>
      </c>
      <c r="D17" s="26" t="n">
        <v>284924</v>
      </c>
      <c r="E17" s="26" t="n">
        <v>283215</v>
      </c>
      <c r="F17" s="26" t="n">
        <v>268303</v>
      </c>
      <c r="G17" s="26" t="n">
        <v>243858</v>
      </c>
    </row>
    <row r="18">
      <c r="A18" t="inlineStr">
        <is>
          <t>FY2049</t>
        </is>
      </c>
      <c r="B18" s="26" t="n">
        <v>207520</v>
      </c>
      <c r="C18" s="26" t="n">
        <v>243261</v>
      </c>
      <c r="D18" s="26" t="n">
        <v>284924</v>
      </c>
      <c r="E18" s="26" t="n">
        <v>283215</v>
      </c>
      <c r="F18" s="26" t="n">
        <v>268303</v>
      </c>
      <c r="G18" s="26" t="n">
        <v>243858</v>
      </c>
    </row>
    <row r="19">
      <c r="A19" t="inlineStr">
        <is>
          <t>FY2050</t>
        </is>
      </c>
      <c r="B19" s="26" t="n">
        <v>297174</v>
      </c>
      <c r="C19" s="26" t="n">
        <v>263907</v>
      </c>
      <c r="D19" s="26" t="n">
        <v>284924</v>
      </c>
      <c r="E19" s="26" t="n">
        <v>283215</v>
      </c>
      <c r="F19" s="26" t="n">
        <v>268303</v>
      </c>
      <c r="G19" s="26" t="n">
        <v>243858</v>
      </c>
    </row>
    <row r="20">
      <c r="A20" t="inlineStr">
        <is>
          <t>FY2051</t>
        </is>
      </c>
      <c r="B20" s="26" t="n">
        <v>265244</v>
      </c>
      <c r="C20" s="26" t="n">
        <v>263907</v>
      </c>
      <c r="D20" s="26" t="n">
        <v>284924</v>
      </c>
      <c r="E20" s="26" t="n">
        <v>283215</v>
      </c>
      <c r="F20" s="26" t="n">
        <v>268303</v>
      </c>
      <c r="G20" s="26" t="n">
        <v>243858</v>
      </c>
    </row>
    <row r="21">
      <c r="A21" t="inlineStr">
        <is>
          <t>FY2052</t>
        </is>
      </c>
      <c r="B21" s="26" t="n">
        <v>323050</v>
      </c>
      <c r="C21" s="26" t="n">
        <v>252470</v>
      </c>
      <c r="D21" s="26" t="n">
        <v>284924</v>
      </c>
      <c r="E21" s="26" t="n">
        <v>283215</v>
      </c>
      <c r="F21" s="26" t="n">
        <v>268303</v>
      </c>
      <c r="G21" s="26" t="n">
        <v>243858</v>
      </c>
    </row>
    <row r="22">
      <c r="A22" s="16" t="inlineStr">
        <is>
          <t>Total</t>
        </is>
      </c>
      <c r="B22" s="17">
        <f>SUM(B12:B21)</f>
        <v>2868644</v>
      </c>
      <c r="C22" s="17">
        <f>SUM(C12:C21)</f>
        <v>2466997</v>
      </c>
      <c r="D22" s="17">
        <f>SUM(D12:D21)</f>
        <v>2849240</v>
      </c>
      <c r="E22" s="17">
        <f>SUM(E12:E21)</f>
        <v>2832150</v>
      </c>
      <c r="F22" s="17">
        <f>SUM(F12:F21)</f>
        <v>2683030</v>
      </c>
      <c r="G22" s="17">
        <f>SUM(G12:G21)</f>
        <v>2438580</v>
      </c>
    </row>
    <row r="24">
      <c r="A24" s="4" t="inlineStr">
        <is>
          <t>Interest paid</t>
        </is>
      </c>
    </row>
    <row r="25">
      <c r="A25" s="14" t="inlineStr">
        <is>
          <t>Fiscal year</t>
        </is>
      </c>
      <c r="B25" s="14" t="inlineStr">
        <is>
          <t>Current practice</t>
        </is>
      </c>
      <c r="C25" s="14" t="inlineStr">
        <is>
          <t>Save $50,000 more a year</t>
        </is>
      </c>
      <c r="D25" s="14" t="inlineStr">
        <is>
          <t>Phased start from $300k (reaches $500k in FY2032)</t>
        </is>
      </c>
      <c r="E25" s="14" t="inlineStr">
        <is>
          <t>Break even by 2042 ($500k/yr)</t>
        </is>
      </c>
      <c r="F25" s="14" t="inlineStr">
        <is>
          <t>Step up to $530k/yr (by FY2030)</t>
        </is>
      </c>
      <c r="G25" s="14" t="inlineStr">
        <is>
          <t>Full pre-funding ($565k/yr)</t>
        </is>
      </c>
    </row>
    <row r="26">
      <c r="A26" t="inlineStr">
        <is>
          <t>FY2043</t>
        </is>
      </c>
      <c r="B26" s="26" t="n">
        <v>31355</v>
      </c>
      <c r="C26" s="26" t="n">
        <v>4696</v>
      </c>
      <c r="D26" s="26" t="n">
        <v>16346</v>
      </c>
      <c r="E26" s="26" t="n">
        <v>15978</v>
      </c>
      <c r="F26" s="26" t="n">
        <v>9757</v>
      </c>
      <c r="G26" s="26" t="n">
        <v>0</v>
      </c>
    </row>
    <row r="27">
      <c r="A27" t="inlineStr">
        <is>
          <t>FY2044</t>
        </is>
      </c>
      <c r="B27" s="26" t="n">
        <v>41721</v>
      </c>
      <c r="C27" s="26" t="n">
        <v>19759</v>
      </c>
      <c r="D27" s="26" t="n">
        <v>28156</v>
      </c>
      <c r="E27" s="26" t="n">
        <v>27709</v>
      </c>
      <c r="F27" s="26" t="n">
        <v>22650</v>
      </c>
      <c r="G27" s="26" t="n">
        <v>0</v>
      </c>
    </row>
    <row r="28">
      <c r="A28" t="inlineStr">
        <is>
          <t>FY2045</t>
        </is>
      </c>
      <c r="B28" s="26" t="n">
        <v>33352</v>
      </c>
      <c r="C28" s="26" t="n">
        <v>17145</v>
      </c>
      <c r="D28" s="26" t="n">
        <v>23183</v>
      </c>
      <c r="E28" s="26" t="n">
        <v>22687</v>
      </c>
      <c r="F28" s="26" t="n">
        <v>19311</v>
      </c>
      <c r="G28" s="26" t="n">
        <v>0</v>
      </c>
    </row>
    <row r="29">
      <c r="A29" t="inlineStr">
        <is>
          <t>FY2046</t>
        </is>
      </c>
      <c r="B29" s="26" t="n">
        <v>27484</v>
      </c>
      <c r="C29" s="26" t="n">
        <v>14659</v>
      </c>
      <c r="D29" s="26" t="n">
        <v>17990</v>
      </c>
      <c r="E29" s="26" t="n">
        <v>17438</v>
      </c>
      <c r="F29" s="26" t="n">
        <v>15826</v>
      </c>
      <c r="G29" s="26" t="n">
        <v>0</v>
      </c>
    </row>
    <row r="30">
      <c r="A30" t="inlineStr">
        <is>
          <t>FY2047</t>
        </is>
      </c>
      <c r="B30" s="26" t="n">
        <v>31028</v>
      </c>
      <c r="C30" s="26" t="n">
        <v>18891</v>
      </c>
      <c r="D30" s="26" t="n">
        <v>15018</v>
      </c>
      <c r="E30" s="26" t="n">
        <v>14765</v>
      </c>
      <c r="F30" s="26" t="n">
        <v>13644</v>
      </c>
      <c r="G30" s="26" t="n">
        <v>0</v>
      </c>
    </row>
    <row r="31">
      <c r="A31" t="inlineStr">
        <is>
          <t>FY2048</t>
        </is>
      </c>
      <c r="B31" s="26" t="n">
        <v>24199</v>
      </c>
      <c r="C31" s="26" t="n">
        <v>16487</v>
      </c>
      <c r="D31" s="26" t="n">
        <v>11927</v>
      </c>
      <c r="E31" s="26" t="n">
        <v>11986</v>
      </c>
      <c r="F31" s="26" t="n">
        <v>11375</v>
      </c>
      <c r="G31" s="26" t="n">
        <v>0</v>
      </c>
    </row>
    <row r="32">
      <c r="A32" t="inlineStr">
        <is>
          <t>FY2049</t>
        </is>
      </c>
      <c r="B32" s="26" t="n">
        <v>20286</v>
      </c>
      <c r="C32" s="26" t="n">
        <v>13970</v>
      </c>
      <c r="D32" s="26" t="n">
        <v>10633</v>
      </c>
      <c r="E32" s="26" t="n">
        <v>10685</v>
      </c>
      <c r="F32" s="26" t="n">
        <v>10141</v>
      </c>
      <c r="G32" s="26" t="n">
        <v>0</v>
      </c>
    </row>
    <row r="33">
      <c r="A33" t="inlineStr">
        <is>
          <t>FY2050</t>
        </is>
      </c>
      <c r="B33" s="26" t="n">
        <v>31240</v>
      </c>
      <c r="C33" s="26" t="n">
        <v>16273</v>
      </c>
      <c r="D33" s="26" t="n">
        <v>9287</v>
      </c>
      <c r="E33" s="26" t="n">
        <v>9332</v>
      </c>
      <c r="F33" s="26" t="n">
        <v>8857</v>
      </c>
      <c r="G33" s="26" t="n">
        <v>0</v>
      </c>
    </row>
    <row r="34">
      <c r="A34" t="inlineStr">
        <is>
          <t>FY2051</t>
        </is>
      </c>
      <c r="B34" s="26" t="n">
        <v>24237</v>
      </c>
      <c r="C34" s="26" t="n">
        <v>12872</v>
      </c>
      <c r="D34" s="26" t="n">
        <v>7887</v>
      </c>
      <c r="E34" s="26" t="n">
        <v>7925</v>
      </c>
      <c r="F34" s="26" t="n">
        <v>7521</v>
      </c>
      <c r="G34" s="26" t="n">
        <v>0</v>
      </c>
    </row>
    <row r="35">
      <c r="A35" t="inlineStr">
        <is>
          <t>FY2052</t>
        </is>
      </c>
      <c r="B35" s="26" t="n">
        <v>34619</v>
      </c>
      <c r="C35" s="26" t="n">
        <v>12128</v>
      </c>
      <c r="D35" s="26" t="n">
        <v>6431</v>
      </c>
      <c r="E35" s="26" t="n">
        <v>6462</v>
      </c>
      <c r="F35" s="26" t="n">
        <v>6133</v>
      </c>
      <c r="G35" s="26" t="n">
        <v>0</v>
      </c>
    </row>
    <row r="36">
      <c r="A36" s="16" t="inlineStr">
        <is>
          <t>Total</t>
        </is>
      </c>
      <c r="B36" s="17">
        <f>SUM(B26:B35)</f>
        <v>299521</v>
      </c>
      <c r="C36" s="17">
        <f>SUM(C26:C35)</f>
        <v>146880</v>
      </c>
      <c r="D36" s="17">
        <f>SUM(D26:D35)</f>
        <v>146858</v>
      </c>
      <c r="E36" s="17">
        <f>SUM(E26:E35)</f>
        <v>144967</v>
      </c>
      <c r="F36" s="17">
        <f>SUM(F26:F35)</f>
        <v>125215</v>
      </c>
      <c r="G36" s="17">
        <f>SUM(G26:G35)</f>
        <v>0</v>
      </c>
    </row>
    <row r="38">
      <c r="A38" s="4" t="inlineStr">
        <is>
          <t>New borrowing</t>
        </is>
      </c>
    </row>
    <row r="39">
      <c r="A39" s="14" t="inlineStr">
        <is>
          <t>Fiscal year</t>
        </is>
      </c>
      <c r="B39" s="14" t="inlineStr">
        <is>
          <t>Current practice</t>
        </is>
      </c>
      <c r="C39" s="14" t="inlineStr">
        <is>
          <t>Save $50,000 more a year</t>
        </is>
      </c>
      <c r="D39" s="14" t="inlineStr">
        <is>
          <t>Phased start from $300k (reaches $500k in FY2032)</t>
        </is>
      </c>
      <c r="E39" s="14" t="inlineStr">
        <is>
          <t>Break even by 2042 ($500k/yr)</t>
        </is>
      </c>
      <c r="F39" s="14" t="inlineStr">
        <is>
          <t>Step up to $530k/yr (by FY2030)</t>
        </is>
      </c>
      <c r="G39" s="14" t="inlineStr">
        <is>
          <t>Full pre-funding ($565k/yr)</t>
        </is>
      </c>
    </row>
    <row r="40">
      <c r="A40" t="inlineStr">
        <is>
          <t>FY2043</t>
        </is>
      </c>
      <c r="B40" s="26" t="n">
        <v>477333</v>
      </c>
      <c r="C40" s="26" t="n">
        <v>425625</v>
      </c>
      <c r="D40" s="26" t="n">
        <v>415652</v>
      </c>
      <c r="E40" s="26" t="n">
        <v>417679</v>
      </c>
      <c r="F40" s="26" t="n">
        <v>396403</v>
      </c>
      <c r="G40" s="26" t="n">
        <v>0</v>
      </c>
    </row>
    <row r="41">
      <c r="A41" t="inlineStr">
        <is>
          <t>FY2044</t>
        </is>
      </c>
      <c r="B41" s="26" t="n">
        <v>0</v>
      </c>
      <c r="C41" s="26" t="n">
        <v>0</v>
      </c>
      <c r="D41" s="26" t="n">
        <v>0</v>
      </c>
      <c r="E41" s="26" t="n">
        <v>0</v>
      </c>
      <c r="F41" s="26" t="n">
        <v>0</v>
      </c>
      <c r="G41" s="26" t="n">
        <v>0</v>
      </c>
    </row>
    <row r="42">
      <c r="A42" t="inlineStr">
        <is>
          <t>FY2045</t>
        </is>
      </c>
      <c r="B42" s="26" t="n">
        <v>30000</v>
      </c>
      <c r="C42" s="26" t="n">
        <v>0</v>
      </c>
      <c r="D42" s="26" t="n">
        <v>0</v>
      </c>
      <c r="E42" s="26" t="n">
        <v>0</v>
      </c>
      <c r="F42" s="26" t="n">
        <v>0</v>
      </c>
      <c r="G42" s="26" t="n">
        <v>0</v>
      </c>
    </row>
    <row r="43">
      <c r="A43" t="inlineStr">
        <is>
          <t>FY2046</t>
        </is>
      </c>
      <c r="B43" s="26" t="n">
        <v>178500</v>
      </c>
      <c r="C43" s="26" t="n">
        <v>101463</v>
      </c>
      <c r="D43" s="26" t="n">
        <v>0</v>
      </c>
      <c r="E43" s="26" t="n">
        <v>0</v>
      </c>
      <c r="F43" s="26" t="n">
        <v>0</v>
      </c>
      <c r="G43" s="26" t="n">
        <v>0</v>
      </c>
    </row>
    <row r="44">
      <c r="A44" t="inlineStr">
        <is>
          <t>FY2047</t>
        </is>
      </c>
      <c r="B44" s="26" t="n">
        <v>30000</v>
      </c>
      <c r="C44" s="26" t="n">
        <v>0</v>
      </c>
      <c r="D44" s="26" t="n">
        <v>0</v>
      </c>
      <c r="E44" s="26" t="n">
        <v>0</v>
      </c>
      <c r="F44" s="26" t="n">
        <v>0</v>
      </c>
      <c r="G44" s="26" t="n">
        <v>0</v>
      </c>
    </row>
    <row r="45">
      <c r="A45" t="inlineStr">
        <is>
          <t>FY2048</t>
        </is>
      </c>
      <c r="B45" s="26" t="n">
        <v>0</v>
      </c>
      <c r="C45" s="26" t="n">
        <v>0</v>
      </c>
      <c r="D45" s="26" t="n">
        <v>0</v>
      </c>
      <c r="E45" s="26" t="n">
        <v>0</v>
      </c>
      <c r="F45" s="26" t="n">
        <v>0</v>
      </c>
      <c r="G45" s="26" t="n">
        <v>0</v>
      </c>
    </row>
    <row r="46">
      <c r="A46" t="inlineStr">
        <is>
          <t>FY2049</t>
        </is>
      </c>
      <c r="B46" s="26" t="n">
        <v>276500</v>
      </c>
      <c r="C46" s="26" t="n">
        <v>88521</v>
      </c>
      <c r="D46" s="26" t="n">
        <v>0</v>
      </c>
      <c r="E46" s="26" t="n">
        <v>0</v>
      </c>
      <c r="F46" s="26" t="n">
        <v>0</v>
      </c>
      <c r="G46" s="26" t="n">
        <v>0</v>
      </c>
    </row>
    <row r="47">
      <c r="A47" t="inlineStr">
        <is>
          <t>FY2050</t>
        </is>
      </c>
      <c r="B47" s="26" t="n">
        <v>0</v>
      </c>
      <c r="C47" s="26" t="n">
        <v>0</v>
      </c>
      <c r="D47" s="26" t="n">
        <v>0</v>
      </c>
      <c r="E47" s="26" t="n">
        <v>0</v>
      </c>
      <c r="F47" s="26" t="n">
        <v>0</v>
      </c>
      <c r="G47" s="26" t="n">
        <v>0</v>
      </c>
    </row>
    <row r="48">
      <c r="A48" t="inlineStr">
        <is>
          <t>FY2051</t>
        </is>
      </c>
      <c r="B48" s="26" t="n">
        <v>319000</v>
      </c>
      <c r="C48" s="26" t="n">
        <v>52856</v>
      </c>
      <c r="D48" s="26" t="n">
        <v>0</v>
      </c>
      <c r="E48" s="26" t="n">
        <v>0</v>
      </c>
      <c r="F48" s="26" t="n">
        <v>0</v>
      </c>
      <c r="G48" s="26" t="n">
        <v>0</v>
      </c>
    </row>
    <row r="49">
      <c r="A49" t="inlineStr">
        <is>
          <t>FY2052</t>
        </is>
      </c>
      <c r="B49" s="26" t="n">
        <v>0</v>
      </c>
      <c r="C49" s="26" t="n">
        <v>32285</v>
      </c>
      <c r="D49" s="26" t="n">
        <v>0</v>
      </c>
      <c r="E49" s="26" t="n">
        <v>0</v>
      </c>
      <c r="F49" s="26" t="n">
        <v>0</v>
      </c>
      <c r="G49" s="26" t="n">
        <v>0</v>
      </c>
    </row>
    <row r="50">
      <c r="A50" s="16" t="inlineStr">
        <is>
          <t>Total</t>
        </is>
      </c>
      <c r="B50" s="17">
        <f>SUM(B40:B49)</f>
        <v>1311333</v>
      </c>
      <c r="C50" s="17">
        <f>SUM(C40:C49)</f>
        <v>700750</v>
      </c>
      <c r="D50" s="17">
        <f>SUM(D40:D49)</f>
        <v>415652</v>
      </c>
      <c r="E50" s="17">
        <f>SUM(E40:E49)</f>
        <v>417679</v>
      </c>
      <c r="F50" s="17">
        <f>SUM(F40:F49)</f>
        <v>396403</v>
      </c>
      <c r="G50" s="17">
        <f>SUM(G40:G49)</f>
        <v>0</v>
      </c>
    </row>
    <row r="52">
      <c r="A52" s="4" t="inlineStr">
        <is>
          <t>Net position (owns − owes), year-end</t>
        </is>
      </c>
    </row>
    <row r="53">
      <c r="A53" s="14" t="inlineStr">
        <is>
          <t>Fiscal year</t>
        </is>
      </c>
      <c r="B53" s="14" t="inlineStr">
        <is>
          <t>Current practice</t>
        </is>
      </c>
      <c r="C53" s="14" t="inlineStr">
        <is>
          <t>Save $50,000 more a year</t>
        </is>
      </c>
      <c r="D53" s="14" t="inlineStr">
        <is>
          <t>Phased start from $300k (reaches $500k in FY2032)</t>
        </is>
      </c>
      <c r="E53" s="14" t="inlineStr">
        <is>
          <t>Break even by 2042 ($500k/yr)</t>
        </is>
      </c>
      <c r="F53" s="14" t="inlineStr">
        <is>
          <t>Step up to $530k/yr (by FY2030)</t>
        </is>
      </c>
      <c r="G53" s="14" t="inlineStr">
        <is>
          <t>Full pre-funding ($565k/yr)</t>
        </is>
      </c>
    </row>
    <row r="54">
      <c r="A54" t="inlineStr">
        <is>
          <t>FY2043</t>
        </is>
      </c>
      <c r="B54" s="26" t="n">
        <v>-341297</v>
      </c>
      <c r="C54" s="26" t="n">
        <v>-319249</v>
      </c>
      <c r="D54" s="26" t="n">
        <v>-166087</v>
      </c>
      <c r="E54" s="26" t="n">
        <v>-143963</v>
      </c>
      <c r="F54" s="26" t="n">
        <v>183482</v>
      </c>
      <c r="G54" s="26" t="n">
        <v>970469</v>
      </c>
    </row>
    <row r="55">
      <c r="A55" t="inlineStr">
        <is>
          <t>FY2044</t>
        </is>
      </c>
      <c r="B55" s="26" t="n">
        <v>-83791</v>
      </c>
      <c r="C55" s="26" t="n">
        <v>-134418</v>
      </c>
      <c r="D55" s="26" t="n">
        <v>185631</v>
      </c>
      <c r="E55" s="26" t="n">
        <v>205710</v>
      </c>
      <c r="F55" s="26" t="n">
        <v>483811</v>
      </c>
      <c r="G55" s="26" t="n">
        <v>1171122</v>
      </c>
    </row>
    <row r="56">
      <c r="A56" t="inlineStr">
        <is>
          <t>FY2045</t>
        </is>
      </c>
      <c r="B56" s="26" t="n">
        <v>-176421</v>
      </c>
      <c r="C56" s="26" t="n">
        <v>-257031</v>
      </c>
      <c r="D56" s="26" t="n">
        <v>237989</v>
      </c>
      <c r="E56" s="26" t="n">
        <v>256059</v>
      </c>
      <c r="F56" s="26" t="n">
        <v>483038</v>
      </c>
      <c r="G56" s="26" t="n">
        <v>1067178</v>
      </c>
    </row>
    <row r="57">
      <c r="A57" t="inlineStr">
        <is>
          <t>FY2046</t>
        </is>
      </c>
      <c r="B57" s="26" t="n">
        <v>-139653</v>
      </c>
      <c r="C57" s="26" t="n">
        <v>-275786</v>
      </c>
      <c r="D57" s="26" t="n">
        <v>373522</v>
      </c>
      <c r="E57" s="26" t="n">
        <v>382444</v>
      </c>
      <c r="F57" s="26" t="n">
        <v>583537</v>
      </c>
      <c r="G57" s="26" t="n">
        <v>1090007</v>
      </c>
    </row>
    <row r="58">
      <c r="A58" t="inlineStr">
        <is>
          <t>FY2047</t>
        </is>
      </c>
      <c r="B58" s="26" t="n">
        <v>49426</v>
      </c>
      <c r="C58" s="26" t="n">
        <v>-136309</v>
      </c>
      <c r="D58" s="26" t="n">
        <v>650954</v>
      </c>
      <c r="E58" s="26" t="n">
        <v>650418</v>
      </c>
      <c r="F58" s="26" t="n">
        <v>825040</v>
      </c>
      <c r="G58" s="26" t="n">
        <v>1251496</v>
      </c>
    </row>
    <row r="59">
      <c r="A59" t="inlineStr">
        <is>
          <t>FY2048</t>
        </is>
      </c>
      <c r="B59" s="26" t="n">
        <v>192357</v>
      </c>
      <c r="C59" s="26" t="n">
        <v>26719</v>
      </c>
      <c r="D59" s="26" t="n">
        <v>905384</v>
      </c>
      <c r="E59" s="26" t="n">
        <v>903302</v>
      </c>
      <c r="F59" s="26" t="n">
        <v>1062471</v>
      </c>
      <c r="G59" s="26" t="n">
        <v>1434613</v>
      </c>
    </row>
    <row r="60">
      <c r="A60" t="inlineStr">
        <is>
          <t>FY2049</t>
        </is>
      </c>
      <c r="B60" s="26" t="n">
        <v>-96375</v>
      </c>
      <c r="C60" s="26" t="n">
        <v>-221933</v>
      </c>
      <c r="D60" s="26" t="n">
        <v>751662</v>
      </c>
      <c r="E60" s="26" t="n">
        <v>748029</v>
      </c>
      <c r="F60" s="26" t="n">
        <v>891582</v>
      </c>
      <c r="G60" s="26" t="n">
        <v>1208014</v>
      </c>
    </row>
    <row r="61">
      <c r="A61" t="inlineStr">
        <is>
          <t>FY2050</t>
        </is>
      </c>
      <c r="B61" s="26" t="n">
        <v>123405</v>
      </c>
      <c r="C61" s="26" t="n">
        <v>-23317</v>
      </c>
      <c r="D61" s="26" t="n">
        <v>1028477</v>
      </c>
      <c r="E61" s="26" t="n">
        <v>1023287</v>
      </c>
      <c r="F61" s="26" t="n">
        <v>1151058</v>
      </c>
      <c r="G61" s="26" t="n">
        <v>1410329</v>
      </c>
    </row>
    <row r="62">
      <c r="A62" t="inlineStr">
        <is>
          <t>FY2051</t>
        </is>
      </c>
      <c r="B62" s="26" t="n">
        <v>9816</v>
      </c>
      <c r="C62" s="26" t="n">
        <v>-129391</v>
      </c>
      <c r="D62" s="26" t="n">
        <v>999381</v>
      </c>
      <c r="E62" s="26" t="n">
        <v>992631</v>
      </c>
      <c r="F62" s="26" t="n">
        <v>1104450</v>
      </c>
      <c r="G62" s="26" t="n">
        <v>1305059</v>
      </c>
    </row>
    <row r="63">
      <c r="A63" t="inlineStr">
        <is>
          <t>FY2052</t>
        </is>
      </c>
      <c r="B63" s="26" t="n">
        <v>95362</v>
      </c>
      <c r="C63" s="26" t="n">
        <v>-95802</v>
      </c>
      <c r="D63" s="26" t="n">
        <v>1122536</v>
      </c>
      <c r="E63" s="26" t="n">
        <v>1114218</v>
      </c>
      <c r="F63" s="26" t="n">
        <v>1209913</v>
      </c>
      <c r="G63" s="26" t="n">
        <v>1350302</v>
      </c>
    </row>
  </sheetData>
  <sheetProtection selectLockedCells="0" selectUnlockedCells="0" sheet="1" objects="0" insertRows="1" insertHyperlinks="1" autoFilter="1" scenarios="0" formatColumns="0" deleteColumns="1" insertColumns="1" pivotTables="1" deleteRows="1" formatCells="0" formatRows="0" sort="1"/>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2026-08-03T20:11:40Z</dcterms:created>
  <dcterms:modified xsi:type="dcterms:W3CDTF">2026-08-03T20:11:40Z</dcterms:modified>
</cp:coreProperties>
</file>